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" yWindow="552" windowWidth="22716" windowHeight="10788"/>
  </bookViews>
  <sheets>
    <sheet name="1-3 лет" sheetId="1" r:id="rId1"/>
    <sheet name="Дети 3-7 лет" sheetId="2" r:id="rId2"/>
    <sheet name="Лист1" sheetId="3" r:id="rId3"/>
  </sheets>
  <definedNames>
    <definedName name="_xlnm.Print_Area" localSheetId="0">'1-3 лет'!$B$1:$K$385</definedName>
    <definedName name="_xlnm.Print_Area" localSheetId="1">'Дети 3-7 лет'!$A$1:$I$382</definedName>
  </definedNames>
  <calcPr calcId="114210"/>
</workbook>
</file>

<file path=xl/calcChain.xml><?xml version="1.0" encoding="utf-8"?>
<calcChain xmlns="http://schemas.openxmlformats.org/spreadsheetml/2006/main">
  <c r="E1085" i="3"/>
  <c r="E1084"/>
  <c r="E1083"/>
  <c r="E1082"/>
  <c r="E1081"/>
  <c r="E1080"/>
  <c r="E1079"/>
  <c r="E1078"/>
  <c r="E1077"/>
  <c r="E1076"/>
  <c r="E1075"/>
  <c r="E1074"/>
  <c r="E1073"/>
  <c r="E1072"/>
  <c r="H1071"/>
  <c r="E1071"/>
  <c r="H1070"/>
  <c r="E1070"/>
  <c r="H1069"/>
  <c r="E1069"/>
  <c r="H1068"/>
  <c r="E1068"/>
  <c r="H1067"/>
  <c r="E1067"/>
  <c r="H1066"/>
  <c r="E1066"/>
  <c r="H1065"/>
  <c r="E1065"/>
  <c r="H1064"/>
  <c r="E1064"/>
  <c r="H1063"/>
  <c r="E1063"/>
  <c r="H1062"/>
  <c r="E1062"/>
  <c r="H1061"/>
  <c r="E1061"/>
  <c r="H1060"/>
  <c r="E1060"/>
  <c r="H1059"/>
  <c r="E1059"/>
  <c r="H1058"/>
  <c r="E1058"/>
  <c r="P1057"/>
  <c r="O1057"/>
  <c r="N1057"/>
  <c r="M1057"/>
  <c r="L1057"/>
  <c r="H1057"/>
  <c r="E1057"/>
  <c r="H1056"/>
  <c r="E1056"/>
  <c r="J1053"/>
  <c r="I1053"/>
  <c r="H1053"/>
  <c r="G1053"/>
  <c r="F1053"/>
  <c r="E1053"/>
  <c r="D1053"/>
  <c r="C1053"/>
  <c r="Q1052"/>
  <c r="P1052"/>
  <c r="O1052"/>
  <c r="N1052"/>
  <c r="M1052"/>
  <c r="J1032"/>
  <c r="J1031"/>
  <c r="J1030"/>
  <c r="J1029"/>
  <c r="J1028"/>
  <c r="J1027"/>
  <c r="J1026"/>
  <c r="J1025"/>
  <c r="J1024"/>
  <c r="J1023"/>
  <c r="J1022"/>
  <c r="J1021"/>
  <c r="J1020"/>
  <c r="J1019"/>
  <c r="J1018"/>
  <c r="J1017"/>
  <c r="J1016"/>
  <c r="J1015"/>
  <c r="J1014"/>
  <c r="J1013"/>
  <c r="J1012"/>
  <c r="J1011"/>
  <c r="J1010"/>
  <c r="J1009"/>
  <c r="J1008"/>
  <c r="J1007"/>
  <c r="J1006"/>
  <c r="J1005"/>
  <c r="J1004"/>
  <c r="J1003"/>
  <c r="J1002"/>
  <c r="N998"/>
  <c r="M998"/>
  <c r="L998"/>
  <c r="K998"/>
  <c r="J998"/>
  <c r="M990"/>
  <c r="F990"/>
  <c r="M989"/>
  <c r="F989"/>
  <c r="P988"/>
  <c r="M988"/>
  <c r="F988"/>
  <c r="P987"/>
  <c r="M987"/>
  <c r="F987"/>
  <c r="P986"/>
  <c r="M986"/>
  <c r="F986"/>
  <c r="P985"/>
  <c r="M985"/>
  <c r="F985"/>
  <c r="P984"/>
  <c r="M984"/>
  <c r="F984"/>
  <c r="P983"/>
  <c r="M983"/>
  <c r="F983"/>
  <c r="P982"/>
  <c r="M982"/>
  <c r="F982"/>
  <c r="P981"/>
  <c r="M981"/>
  <c r="F981"/>
  <c r="F980"/>
  <c r="K978"/>
  <c r="N977"/>
  <c r="K977"/>
  <c r="N976"/>
  <c r="K976"/>
  <c r="N975"/>
  <c r="K975"/>
  <c r="N974"/>
  <c r="K974"/>
  <c r="N973"/>
  <c r="G972"/>
  <c r="G971"/>
  <c r="G970"/>
  <c r="G969"/>
  <c r="G968"/>
  <c r="G967"/>
  <c r="G966"/>
  <c r="M964"/>
  <c r="T963"/>
  <c r="S963"/>
  <c r="R963"/>
  <c r="Q963"/>
  <c r="P963"/>
  <c r="M963"/>
  <c r="M962"/>
  <c r="M961"/>
  <c r="J955"/>
  <c r="J954"/>
  <c r="J953"/>
  <c r="J952"/>
  <c r="P951"/>
  <c r="J951"/>
  <c r="P950"/>
  <c r="J950"/>
  <c r="P949"/>
  <c r="J949"/>
  <c r="P948"/>
  <c r="J948"/>
  <c r="J947"/>
  <c r="J946"/>
  <c r="O945"/>
  <c r="J945"/>
  <c r="O944"/>
  <c r="J944"/>
  <c r="O943"/>
  <c r="J943"/>
  <c r="O942"/>
  <c r="J942"/>
  <c r="J941"/>
  <c r="N931"/>
  <c r="M931"/>
  <c r="L931"/>
  <c r="K931"/>
  <c r="J931"/>
  <c r="G931"/>
  <c r="F931"/>
  <c r="E931"/>
  <c r="D931"/>
  <c r="C931"/>
  <c r="H928"/>
  <c r="H927"/>
  <c r="H926"/>
  <c r="H925"/>
  <c r="H924"/>
  <c r="H923"/>
  <c r="H922"/>
  <c r="H921"/>
  <c r="H920"/>
  <c r="J912"/>
  <c r="J911"/>
  <c r="M910"/>
  <c r="J910"/>
  <c r="P909"/>
  <c r="M909"/>
  <c r="J909"/>
  <c r="P908"/>
  <c r="M908"/>
  <c r="J908"/>
  <c r="P907"/>
  <c r="M907"/>
  <c r="J907"/>
  <c r="P906"/>
  <c r="M906"/>
  <c r="J906"/>
  <c r="P905"/>
  <c r="M905"/>
  <c r="J905"/>
  <c r="C905"/>
  <c r="P904"/>
  <c r="M904"/>
  <c r="J904"/>
  <c r="C904"/>
  <c r="P903"/>
  <c r="M903"/>
  <c r="J903"/>
  <c r="C903"/>
  <c r="P902"/>
  <c r="J902"/>
  <c r="C902"/>
  <c r="P901"/>
  <c r="J901"/>
  <c r="C901"/>
  <c r="C900"/>
  <c r="C899"/>
  <c r="C898"/>
  <c r="J897"/>
  <c r="C897"/>
  <c r="M896"/>
  <c r="J896"/>
  <c r="C896"/>
  <c r="M895"/>
  <c r="J895"/>
  <c r="C895"/>
  <c r="M894"/>
  <c r="J894"/>
  <c r="C894"/>
  <c r="M893"/>
  <c r="J893"/>
  <c r="C893"/>
  <c r="M892"/>
  <c r="J892"/>
  <c r="C892"/>
  <c r="M891"/>
  <c r="J891"/>
  <c r="M890"/>
  <c r="J890"/>
  <c r="M889"/>
  <c r="J889"/>
  <c r="M888"/>
  <c r="J888"/>
  <c r="M887"/>
  <c r="J887"/>
  <c r="M886"/>
  <c r="D883"/>
  <c r="D882"/>
  <c r="D881"/>
  <c r="D880"/>
  <c r="D879"/>
  <c r="D878"/>
  <c r="L877"/>
  <c r="D877"/>
  <c r="L876"/>
  <c r="I876"/>
  <c r="D876"/>
  <c r="L875"/>
  <c r="I875"/>
  <c r="D875"/>
  <c r="L874"/>
  <c r="I874"/>
  <c r="D874"/>
  <c r="P873"/>
  <c r="L873"/>
  <c r="I873"/>
  <c r="D873"/>
  <c r="P872"/>
  <c r="L872"/>
  <c r="I872"/>
  <c r="D872"/>
  <c r="P871"/>
  <c r="L871"/>
  <c r="I871"/>
  <c r="D871"/>
  <c r="P870"/>
  <c r="L870"/>
  <c r="I870"/>
  <c r="D870"/>
  <c r="P869"/>
  <c r="L869"/>
  <c r="I869"/>
  <c r="D869"/>
  <c r="P868"/>
  <c r="L868"/>
  <c r="I868"/>
  <c r="D868"/>
  <c r="P867"/>
  <c r="L867"/>
  <c r="I867"/>
  <c r="D867"/>
  <c r="P866"/>
  <c r="L866"/>
  <c r="I866"/>
  <c r="D866"/>
  <c r="P865"/>
  <c r="L865"/>
  <c r="I865"/>
  <c r="D865"/>
  <c r="P864"/>
  <c r="L864"/>
  <c r="I864"/>
  <c r="D864"/>
  <c r="P863"/>
  <c r="L863"/>
  <c r="I863"/>
  <c r="D863"/>
  <c r="I862"/>
  <c r="D862"/>
  <c r="I857"/>
  <c r="I856"/>
  <c r="I855"/>
  <c r="I854"/>
  <c r="I853"/>
  <c r="I852"/>
  <c r="I851"/>
  <c r="I850"/>
  <c r="I849"/>
  <c r="I848"/>
  <c r="I847"/>
  <c r="I846"/>
  <c r="I845"/>
  <c r="I844"/>
  <c r="I843"/>
  <c r="M833"/>
  <c r="M832"/>
  <c r="I832"/>
  <c r="M831"/>
  <c r="I831"/>
  <c r="E831"/>
  <c r="M830"/>
  <c r="I830"/>
  <c r="E830"/>
  <c r="M829"/>
  <c r="I829"/>
  <c r="E829"/>
  <c r="M828"/>
  <c r="I828"/>
  <c r="E828"/>
  <c r="M827"/>
  <c r="I827"/>
  <c r="E827"/>
  <c r="M826"/>
  <c r="E826"/>
  <c r="M825"/>
  <c r="E825"/>
  <c r="M824"/>
  <c r="E824"/>
  <c r="Q823"/>
  <c r="M823"/>
  <c r="E823"/>
  <c r="Q822"/>
  <c r="M822"/>
  <c r="E822"/>
  <c r="Q821"/>
  <c r="M821"/>
  <c r="E821"/>
  <c r="Q820"/>
  <c r="M820"/>
  <c r="J820"/>
  <c r="E820"/>
  <c r="J819"/>
  <c r="E819"/>
  <c r="J818"/>
  <c r="E818"/>
  <c r="J817"/>
  <c r="E817"/>
  <c r="M810"/>
  <c r="M809"/>
  <c r="M808"/>
  <c r="M807"/>
  <c r="M806"/>
  <c r="M805"/>
  <c r="M804"/>
  <c r="M803"/>
  <c r="M802"/>
  <c r="G802"/>
  <c r="Q801"/>
  <c r="M801"/>
  <c r="G801"/>
  <c r="Q800"/>
  <c r="M800"/>
  <c r="G800"/>
  <c r="Q799"/>
  <c r="M799"/>
  <c r="G799"/>
  <c r="Q798"/>
  <c r="M798"/>
  <c r="G798"/>
  <c r="Q797"/>
  <c r="M797"/>
  <c r="M796"/>
  <c r="M795"/>
  <c r="I791"/>
  <c r="I790"/>
  <c r="E790"/>
  <c r="I789"/>
  <c r="E789"/>
  <c r="N788"/>
  <c r="I788"/>
  <c r="E788"/>
  <c r="N787"/>
  <c r="I787"/>
  <c r="E787"/>
  <c r="N786"/>
  <c r="I786"/>
  <c r="E786"/>
  <c r="N785"/>
  <c r="I785"/>
  <c r="E785"/>
  <c r="N784"/>
  <c r="I784"/>
  <c r="E784"/>
  <c r="N783"/>
  <c r="I783"/>
  <c r="E783"/>
  <c r="N782"/>
  <c r="I782"/>
  <c r="E782"/>
  <c r="N781"/>
  <c r="I781"/>
  <c r="N780"/>
  <c r="J774"/>
  <c r="J773"/>
  <c r="J772"/>
  <c r="N771"/>
  <c r="J771"/>
  <c r="N770"/>
  <c r="J770"/>
  <c r="N769"/>
  <c r="J769"/>
  <c r="N768"/>
  <c r="J768"/>
  <c r="N767"/>
  <c r="J767"/>
  <c r="N766"/>
  <c r="J766"/>
  <c r="N765"/>
  <c r="J765"/>
  <c r="N764"/>
  <c r="J764"/>
  <c r="N763"/>
  <c r="L760"/>
  <c r="L759"/>
  <c r="L758"/>
  <c r="L757"/>
  <c r="L756"/>
  <c r="L755"/>
  <c r="L754"/>
  <c r="L753"/>
  <c r="L752"/>
  <c r="L751"/>
  <c r="L750"/>
  <c r="P749"/>
  <c r="P748"/>
  <c r="P747"/>
  <c r="L747"/>
  <c r="P746"/>
  <c r="L746"/>
  <c r="P745"/>
  <c r="L745"/>
  <c r="P744"/>
  <c r="L744"/>
  <c r="L743"/>
  <c r="G742"/>
  <c r="G741"/>
  <c r="G740"/>
  <c r="G739"/>
  <c r="G738"/>
  <c r="G737"/>
  <c r="O736"/>
  <c r="N736"/>
  <c r="M736"/>
  <c r="L736"/>
  <c r="K736"/>
  <c r="G736"/>
  <c r="G735"/>
  <c r="G734"/>
  <c r="G733"/>
  <c r="G732"/>
  <c r="G731"/>
  <c r="G730"/>
  <c r="O729"/>
  <c r="L729"/>
  <c r="G729"/>
  <c r="O728"/>
  <c r="L728"/>
  <c r="G728"/>
  <c r="O727"/>
  <c r="L727"/>
  <c r="G727"/>
  <c r="O726"/>
  <c r="L726"/>
  <c r="G726"/>
  <c r="O725"/>
  <c r="L725"/>
  <c r="G725"/>
  <c r="O724"/>
  <c r="L724"/>
  <c r="G724"/>
  <c r="O723"/>
  <c r="L723"/>
  <c r="L719"/>
  <c r="D719"/>
  <c r="L718"/>
  <c r="D718"/>
  <c r="O717"/>
  <c r="L717"/>
  <c r="D717"/>
  <c r="O716"/>
  <c r="L716"/>
  <c r="D716"/>
  <c r="O715"/>
  <c r="L715"/>
  <c r="I715"/>
  <c r="D715"/>
  <c r="O714"/>
  <c r="L714"/>
  <c r="I714"/>
  <c r="D714"/>
  <c r="O713"/>
  <c r="L713"/>
  <c r="I713"/>
  <c r="D713"/>
  <c r="O712"/>
  <c r="L712"/>
  <c r="I712"/>
  <c r="D712"/>
  <c r="O711"/>
  <c r="L711"/>
  <c r="I711"/>
  <c r="D711"/>
  <c r="O710"/>
  <c r="L710"/>
  <c r="I710"/>
  <c r="D710"/>
  <c r="O709"/>
  <c r="L709"/>
  <c r="I709"/>
  <c r="D709"/>
  <c r="O708"/>
  <c r="L708"/>
  <c r="I708"/>
  <c r="D708"/>
  <c r="O707"/>
  <c r="L707"/>
  <c r="I707"/>
  <c r="D707"/>
  <c r="O706"/>
  <c r="L706"/>
  <c r="I706"/>
  <c r="O705"/>
  <c r="L705"/>
  <c r="N696"/>
  <c r="M696"/>
  <c r="L696"/>
  <c r="K696"/>
  <c r="J696"/>
  <c r="H694"/>
  <c r="H693"/>
  <c r="E693"/>
  <c r="H692"/>
  <c r="E692"/>
  <c r="N691"/>
  <c r="E691"/>
  <c r="N690"/>
  <c r="E690"/>
  <c r="N689"/>
  <c r="E689"/>
  <c r="N688"/>
  <c r="E688"/>
  <c r="N687"/>
  <c r="E687"/>
  <c r="N686"/>
  <c r="N685"/>
  <c r="N684"/>
  <c r="N683"/>
  <c r="N682"/>
  <c r="N681"/>
  <c r="N680"/>
  <c r="N679"/>
  <c r="N678"/>
  <c r="N677"/>
  <c r="N676"/>
  <c r="K676"/>
  <c r="J676"/>
  <c r="I676"/>
  <c r="H676"/>
  <c r="G676"/>
  <c r="N675"/>
  <c r="N674"/>
  <c r="L670"/>
  <c r="F670"/>
  <c r="P669"/>
  <c r="L669"/>
  <c r="P668"/>
  <c r="L668"/>
  <c r="P667"/>
  <c r="L667"/>
  <c r="P666"/>
  <c r="L666"/>
  <c r="I666"/>
  <c r="H666"/>
  <c r="G666"/>
  <c r="F666"/>
  <c r="E666"/>
  <c r="P665"/>
  <c r="L665"/>
  <c r="P664"/>
  <c r="P663"/>
  <c r="G657"/>
  <c r="G656"/>
  <c r="G655"/>
  <c r="G654"/>
  <c r="G653"/>
  <c r="G652"/>
  <c r="G651"/>
  <c r="G650"/>
  <c r="G649"/>
  <c r="G648"/>
  <c r="N647"/>
  <c r="M647"/>
  <c r="L647"/>
  <c r="K647"/>
  <c r="J647"/>
  <c r="G647"/>
  <c r="G646"/>
  <c r="H642"/>
  <c r="K631"/>
  <c r="K630"/>
  <c r="K629"/>
  <c r="K628"/>
  <c r="K627"/>
  <c r="K626"/>
  <c r="K625"/>
  <c r="K624"/>
  <c r="K623"/>
  <c r="K614"/>
  <c r="H614"/>
  <c r="K613"/>
  <c r="H613"/>
  <c r="K612"/>
  <c r="H612"/>
  <c r="K611"/>
  <c r="H611"/>
  <c r="K610"/>
  <c r="H610"/>
  <c r="K609"/>
  <c r="H609"/>
  <c r="K608"/>
  <c r="H608"/>
  <c r="K607"/>
  <c r="F598"/>
  <c r="F597"/>
  <c r="F596"/>
  <c r="L595"/>
  <c r="F595"/>
  <c r="L594"/>
  <c r="F594"/>
  <c r="L593"/>
  <c r="F593"/>
  <c r="L592"/>
  <c r="F592"/>
  <c r="L591"/>
  <c r="F591"/>
  <c r="L590"/>
  <c r="F590"/>
  <c r="L589"/>
  <c r="F589"/>
  <c r="L588"/>
  <c r="F588"/>
  <c r="L587"/>
  <c r="F587"/>
  <c r="L586"/>
  <c r="F586"/>
  <c r="F585"/>
  <c r="F584"/>
  <c r="F583"/>
  <c r="N576"/>
  <c r="K576"/>
  <c r="N575"/>
  <c r="K575"/>
  <c r="N574"/>
  <c r="K574"/>
  <c r="N573"/>
  <c r="K573"/>
  <c r="N572"/>
  <c r="K572"/>
  <c r="N571"/>
  <c r="K571"/>
  <c r="G571"/>
  <c r="N570"/>
  <c r="K570"/>
  <c r="G570"/>
  <c r="N569"/>
  <c r="K569"/>
  <c r="G569"/>
  <c r="G568"/>
  <c r="G567"/>
  <c r="G566"/>
  <c r="G565"/>
  <c r="G564"/>
  <c r="G563"/>
  <c r="G562"/>
  <c r="G561"/>
  <c r="G557"/>
  <c r="L556"/>
  <c r="G556"/>
  <c r="L555"/>
  <c r="G555"/>
  <c r="L554"/>
  <c r="G554"/>
  <c r="L553"/>
  <c r="G553"/>
  <c r="L552"/>
  <c r="G552"/>
  <c r="L551"/>
  <c r="G551"/>
  <c r="L550"/>
  <c r="G550"/>
  <c r="L549"/>
  <c r="G549"/>
  <c r="L548"/>
  <c r="G548"/>
  <c r="L547"/>
  <c r="G547"/>
  <c r="L546"/>
  <c r="P533"/>
  <c r="P532"/>
  <c r="P531"/>
  <c r="P530"/>
  <c r="G530"/>
  <c r="P529"/>
  <c r="G529"/>
  <c r="P528"/>
  <c r="G528"/>
  <c r="P527"/>
  <c r="G527"/>
  <c r="P526"/>
  <c r="P525"/>
  <c r="P524"/>
  <c r="P523"/>
  <c r="P522"/>
  <c r="P521"/>
  <c r="P520"/>
  <c r="P519"/>
  <c r="E510"/>
  <c r="E509"/>
  <c r="E508"/>
  <c r="E507"/>
  <c r="E506"/>
  <c r="E505"/>
  <c r="L504"/>
  <c r="K504"/>
  <c r="J504"/>
  <c r="I504"/>
  <c r="H504"/>
  <c r="E504"/>
  <c r="E503"/>
  <c r="E502"/>
  <c r="F490"/>
  <c r="F489"/>
  <c r="F488"/>
  <c r="F487"/>
  <c r="F486"/>
  <c r="F485"/>
  <c r="F484"/>
  <c r="F483"/>
  <c r="F482"/>
  <c r="M481"/>
  <c r="F481"/>
  <c r="M480"/>
  <c r="F480"/>
  <c r="M479"/>
  <c r="F479"/>
  <c r="M478"/>
  <c r="M477"/>
  <c r="M476"/>
  <c r="M475"/>
  <c r="M474"/>
  <c r="J473"/>
  <c r="J474"/>
  <c r="I473"/>
  <c r="I474"/>
  <c r="H473"/>
  <c r="H474"/>
  <c r="G473"/>
  <c r="G474"/>
  <c r="F473"/>
  <c r="F474"/>
  <c r="M473"/>
  <c r="M472"/>
  <c r="M471"/>
  <c r="M470"/>
  <c r="H464"/>
  <c r="H463"/>
  <c r="L462"/>
  <c r="H462"/>
  <c r="L461"/>
  <c r="H461"/>
  <c r="L460"/>
  <c r="H460"/>
  <c r="H459"/>
  <c r="H458"/>
  <c r="L457"/>
  <c r="H457"/>
  <c r="L456"/>
  <c r="H456"/>
  <c r="L455"/>
  <c r="H455"/>
  <c r="L454"/>
  <c r="H454"/>
  <c r="L453"/>
  <c r="H453"/>
  <c r="L452"/>
  <c r="H452"/>
  <c r="L451"/>
  <c r="H451"/>
  <c r="L450"/>
  <c r="H450"/>
  <c r="H449"/>
  <c r="J436"/>
  <c r="J435"/>
  <c r="J434"/>
  <c r="F434"/>
  <c r="J433"/>
  <c r="F433"/>
  <c r="J432"/>
  <c r="F432"/>
  <c r="J431"/>
  <c r="F431"/>
  <c r="F430"/>
  <c r="K428"/>
  <c r="K427"/>
  <c r="F427"/>
  <c r="K426"/>
  <c r="F426"/>
  <c r="K425"/>
  <c r="F425"/>
  <c r="N424"/>
  <c r="F424"/>
  <c r="N423"/>
  <c r="F423"/>
  <c r="N422"/>
  <c r="F422"/>
  <c r="N421"/>
  <c r="F421"/>
  <c r="N420"/>
  <c r="K420"/>
  <c r="F420"/>
  <c r="N419"/>
  <c r="K419"/>
  <c r="F419"/>
  <c r="N418"/>
  <c r="K418"/>
  <c r="F418"/>
  <c r="N417"/>
  <c r="K417"/>
  <c r="F417"/>
  <c r="F416"/>
  <c r="M402"/>
  <c r="M401"/>
  <c r="M400"/>
  <c r="M399"/>
  <c r="I399"/>
  <c r="M398"/>
  <c r="I398"/>
  <c r="M397"/>
  <c r="I397"/>
  <c r="M396"/>
  <c r="I396"/>
  <c r="M395"/>
  <c r="I395"/>
  <c r="M394"/>
  <c r="I394"/>
  <c r="E394"/>
  <c r="M393"/>
  <c r="I393"/>
  <c r="E393"/>
  <c r="M392"/>
  <c r="I392"/>
  <c r="E392"/>
  <c r="M391"/>
  <c r="I391"/>
  <c r="E391"/>
  <c r="M390"/>
  <c r="I390"/>
  <c r="E390"/>
  <c r="M389"/>
  <c r="I389"/>
  <c r="E389"/>
  <c r="M388"/>
  <c r="I388"/>
  <c r="E388"/>
  <c r="M387"/>
  <c r="I387"/>
  <c r="E387"/>
  <c r="M386"/>
  <c r="I386"/>
  <c r="F383"/>
  <c r="F382"/>
  <c r="F381"/>
  <c r="F380"/>
  <c r="F379"/>
  <c r="F378"/>
  <c r="F377"/>
  <c r="F376"/>
  <c r="M375"/>
  <c r="J375"/>
  <c r="F375"/>
  <c r="M374"/>
  <c r="J374"/>
  <c r="F374"/>
  <c r="M373"/>
  <c r="J373"/>
  <c r="F373"/>
  <c r="M372"/>
  <c r="J372"/>
  <c r="F372"/>
  <c r="M371"/>
  <c r="J371"/>
  <c r="F371"/>
  <c r="M370"/>
  <c r="J370"/>
  <c r="F370"/>
  <c r="M369"/>
  <c r="J369"/>
  <c r="F369"/>
  <c r="M368"/>
  <c r="J368"/>
  <c r="F368"/>
  <c r="M367"/>
  <c r="J367"/>
  <c r="F367"/>
  <c r="M366"/>
  <c r="J366"/>
  <c r="F366"/>
  <c r="M365"/>
  <c r="J365"/>
  <c r="F350"/>
  <c r="F349"/>
  <c r="K348"/>
  <c r="F348"/>
  <c r="K347"/>
  <c r="F347"/>
  <c r="K346"/>
  <c r="K345"/>
  <c r="N344"/>
  <c r="K344"/>
  <c r="N343"/>
  <c r="K343"/>
  <c r="G343"/>
  <c r="F343"/>
  <c r="E343"/>
  <c r="D343"/>
  <c r="C343"/>
  <c r="N342"/>
  <c r="K342"/>
  <c r="N341"/>
  <c r="K341"/>
  <c r="K340"/>
  <c r="I335"/>
  <c r="I334"/>
  <c r="I333"/>
  <c r="I332"/>
  <c r="I331"/>
  <c r="I330"/>
  <c r="I329"/>
  <c r="D326"/>
  <c r="D325"/>
  <c r="D324"/>
  <c r="D323"/>
  <c r="D322"/>
  <c r="D321"/>
  <c r="M320"/>
  <c r="D320"/>
  <c r="M319"/>
  <c r="J319"/>
  <c r="D319"/>
  <c r="M318"/>
  <c r="J318"/>
  <c r="D318"/>
  <c r="M317"/>
  <c r="J317"/>
  <c r="D317"/>
  <c r="J316"/>
  <c r="D316"/>
  <c r="M312"/>
  <c r="J312"/>
  <c r="M311"/>
  <c r="J311"/>
  <c r="M310"/>
  <c r="J310"/>
  <c r="M309"/>
  <c r="J309"/>
  <c r="M308"/>
  <c r="J308"/>
  <c r="M307"/>
  <c r="J307"/>
  <c r="M306"/>
  <c r="J306"/>
  <c r="M305"/>
  <c r="J305"/>
  <c r="E305"/>
  <c r="M304"/>
  <c r="E304"/>
  <c r="E303"/>
  <c r="E302"/>
  <c r="E301"/>
  <c r="L300"/>
  <c r="K300"/>
  <c r="J300"/>
  <c r="I300"/>
  <c r="H300"/>
  <c r="E300"/>
  <c r="E299"/>
  <c r="H294"/>
  <c r="H293"/>
  <c r="H292"/>
  <c r="H291"/>
  <c r="H290"/>
  <c r="H289"/>
  <c r="H288"/>
  <c r="H287"/>
  <c r="H286"/>
  <c r="O285"/>
  <c r="N285"/>
  <c r="M285"/>
  <c r="L285"/>
  <c r="K285"/>
  <c r="H285"/>
  <c r="H284"/>
  <c r="E284"/>
  <c r="H283"/>
  <c r="E283"/>
  <c r="H282"/>
  <c r="E282"/>
  <c r="H281"/>
  <c r="E281"/>
  <c r="E280"/>
  <c r="E279"/>
  <c r="K278"/>
  <c r="J278"/>
  <c r="I278"/>
  <c r="H278"/>
  <c r="G278"/>
  <c r="E278"/>
  <c r="E277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K231"/>
  <c r="J231"/>
  <c r="I231"/>
  <c r="H231"/>
  <c r="G231"/>
  <c r="E231"/>
  <c r="E230"/>
  <c r="D208"/>
  <c r="D207"/>
  <c r="D206"/>
  <c r="D205"/>
  <c r="D204"/>
  <c r="D203"/>
  <c r="L202"/>
  <c r="D202"/>
  <c r="L201"/>
  <c r="D201"/>
  <c r="L200"/>
  <c r="D200"/>
  <c r="L199"/>
  <c r="L198"/>
  <c r="L197"/>
  <c r="L196"/>
  <c r="F196"/>
  <c r="L195"/>
  <c r="F195"/>
  <c r="L194"/>
  <c r="F194"/>
  <c r="L193"/>
  <c r="F193"/>
  <c r="L192"/>
  <c r="F192"/>
  <c r="L191"/>
  <c r="F191"/>
  <c r="L190"/>
  <c r="F190"/>
  <c r="L189"/>
  <c r="F189"/>
  <c r="L188"/>
  <c r="F188"/>
  <c r="L187"/>
  <c r="F187"/>
  <c r="L186"/>
  <c r="F186"/>
  <c r="L185"/>
  <c r="F185"/>
  <c r="L184"/>
  <c r="F184"/>
  <c r="N177"/>
  <c r="N176"/>
  <c r="N175"/>
  <c r="N174"/>
  <c r="N173"/>
  <c r="N172"/>
  <c r="J172"/>
  <c r="E172"/>
  <c r="N171"/>
  <c r="J171"/>
  <c r="E171"/>
  <c r="N170"/>
  <c r="J170"/>
  <c r="E170"/>
  <c r="N169"/>
  <c r="J169"/>
  <c r="E169"/>
  <c r="N168"/>
  <c r="J168"/>
  <c r="E168"/>
  <c r="N167"/>
  <c r="J167"/>
  <c r="E167"/>
  <c r="N166"/>
  <c r="J166"/>
  <c r="E166"/>
  <c r="N165"/>
  <c r="J165"/>
  <c r="E165"/>
  <c r="N164"/>
  <c r="J164"/>
  <c r="E164"/>
  <c r="N163"/>
  <c r="J163"/>
  <c r="E163"/>
  <c r="N162"/>
  <c r="J162"/>
  <c r="F156"/>
  <c r="F155"/>
  <c r="F154"/>
  <c r="F153"/>
  <c r="F152"/>
  <c r="F151"/>
  <c r="F150"/>
  <c r="N149"/>
  <c r="F149"/>
  <c r="N148"/>
  <c r="N147"/>
  <c r="N146"/>
  <c r="J146"/>
  <c r="N145"/>
  <c r="J145"/>
  <c r="D145"/>
  <c r="N144"/>
  <c r="J144"/>
  <c r="D144"/>
  <c r="N143"/>
  <c r="J143"/>
  <c r="D143"/>
  <c r="N142"/>
  <c r="J142"/>
  <c r="D142"/>
  <c r="N141"/>
  <c r="J141"/>
  <c r="D141"/>
  <c r="N140"/>
  <c r="J140"/>
  <c r="D140"/>
  <c r="N139"/>
  <c r="J139"/>
  <c r="D139"/>
  <c r="N138"/>
  <c r="J138"/>
  <c r="D138"/>
  <c r="N137"/>
  <c r="J137"/>
  <c r="D137"/>
  <c r="N136"/>
  <c r="D136"/>
  <c r="I127"/>
  <c r="I126"/>
  <c r="I125"/>
  <c r="I124"/>
  <c r="I123"/>
  <c r="I122"/>
  <c r="I121"/>
  <c r="I120"/>
  <c r="F120"/>
  <c r="F119"/>
  <c r="F118"/>
  <c r="M117"/>
  <c r="F117"/>
  <c r="M116"/>
  <c r="M115"/>
  <c r="M114"/>
  <c r="D114"/>
  <c r="M113"/>
  <c r="I113"/>
  <c r="D113"/>
  <c r="M112"/>
  <c r="I112"/>
  <c r="D112"/>
  <c r="M111"/>
  <c r="I111"/>
  <c r="D111"/>
  <c r="M110"/>
  <c r="I110"/>
  <c r="D110"/>
  <c r="M109"/>
  <c r="I109"/>
  <c r="D109"/>
  <c r="I108"/>
  <c r="D108"/>
  <c r="I107"/>
  <c r="D107"/>
  <c r="I106"/>
  <c r="D106"/>
  <c r="I105"/>
  <c r="D105"/>
  <c r="I104"/>
  <c r="D104"/>
  <c r="K100"/>
  <c r="G100"/>
  <c r="K99"/>
  <c r="G99"/>
  <c r="K98"/>
  <c r="G98"/>
  <c r="K97"/>
  <c r="G97"/>
  <c r="K96"/>
  <c r="G96"/>
  <c r="K95"/>
  <c r="G95"/>
  <c r="K94"/>
  <c r="G94"/>
  <c r="K93"/>
  <c r="G93"/>
  <c r="O92"/>
  <c r="K92"/>
  <c r="G92"/>
  <c r="O91"/>
  <c r="K91"/>
  <c r="G91"/>
  <c r="O90"/>
  <c r="K90"/>
  <c r="G90"/>
  <c r="O89"/>
  <c r="K89"/>
  <c r="G89"/>
  <c r="O88"/>
  <c r="K88"/>
  <c r="G88"/>
  <c r="K87"/>
  <c r="G87"/>
  <c r="K86"/>
  <c r="G86"/>
  <c r="K85"/>
  <c r="G85"/>
  <c r="M72"/>
  <c r="L72"/>
  <c r="K72"/>
  <c r="J72"/>
  <c r="I72"/>
  <c r="C65"/>
  <c r="L64"/>
  <c r="K64"/>
  <c r="J64"/>
  <c r="I64"/>
  <c r="H64"/>
  <c r="C64"/>
  <c r="C63"/>
  <c r="C62"/>
  <c r="C61"/>
  <c r="C60"/>
  <c r="I59"/>
  <c r="H59"/>
  <c r="G59"/>
  <c r="F59"/>
  <c r="E59"/>
  <c r="C59"/>
  <c r="C58"/>
  <c r="H39"/>
  <c r="H38"/>
  <c r="H37"/>
  <c r="H36"/>
  <c r="H35"/>
  <c r="O34"/>
  <c r="N34"/>
  <c r="M34"/>
  <c r="L34"/>
  <c r="K34"/>
  <c r="H34"/>
  <c r="H33"/>
  <c r="H32"/>
  <c r="K27"/>
  <c r="K26"/>
  <c r="K25"/>
  <c r="K24"/>
  <c r="H24"/>
  <c r="G24"/>
  <c r="F24"/>
  <c r="E24"/>
  <c r="D24"/>
  <c r="K23"/>
  <c r="K22"/>
  <c r="J16"/>
  <c r="J15"/>
  <c r="E15"/>
  <c r="J14"/>
  <c r="E14"/>
  <c r="J13"/>
  <c r="E13"/>
  <c r="J12"/>
  <c r="E12"/>
  <c r="J11"/>
  <c r="E11"/>
  <c r="J10"/>
  <c r="E10"/>
  <c r="J9"/>
  <c r="E9"/>
  <c r="J8"/>
  <c r="E8"/>
  <c r="J7"/>
  <c r="E7"/>
  <c r="J6"/>
  <c r="E6"/>
  <c r="J5"/>
  <c r="E5"/>
  <c r="G121" i="2"/>
  <c r="G124"/>
  <c r="G133"/>
  <c r="G144"/>
  <c r="G137"/>
  <c r="G146"/>
  <c r="E395"/>
  <c r="G8"/>
  <c r="G11"/>
  <c r="G19"/>
  <c r="G25"/>
  <c r="G29"/>
  <c r="G23"/>
  <c r="G31"/>
  <c r="E396"/>
  <c r="G345"/>
  <c r="G348"/>
  <c r="G357"/>
  <c r="G367"/>
  <c r="G361"/>
  <c r="G369"/>
  <c r="E397"/>
  <c r="G84"/>
  <c r="G87"/>
  <c r="G95"/>
  <c r="G106"/>
  <c r="G99"/>
  <c r="G108"/>
  <c r="E398"/>
  <c r="G45"/>
  <c r="G48"/>
  <c r="G57"/>
  <c r="G69"/>
  <c r="G61"/>
  <c r="G71"/>
  <c r="E399"/>
  <c r="E400"/>
  <c r="E401"/>
  <c r="F395"/>
  <c r="F396"/>
  <c r="F397"/>
  <c r="F398"/>
  <c r="F399"/>
  <c r="F400"/>
  <c r="F401"/>
  <c r="G395"/>
  <c r="G396"/>
  <c r="G397"/>
  <c r="G398"/>
  <c r="G399"/>
  <c r="G400"/>
  <c r="G401"/>
  <c r="H395"/>
  <c r="H396"/>
  <c r="H397"/>
  <c r="H398"/>
  <c r="H399"/>
  <c r="H400"/>
  <c r="H401"/>
  <c r="I395"/>
  <c r="I396"/>
  <c r="I397"/>
  <c r="I398"/>
  <c r="I399"/>
  <c r="I400"/>
  <c r="I401"/>
  <c r="L401"/>
  <c r="L400"/>
  <c r="L399"/>
  <c r="L398"/>
  <c r="L397"/>
  <c r="L396"/>
  <c r="L395"/>
  <c r="G270"/>
  <c r="G273"/>
  <c r="G282"/>
  <c r="G288"/>
  <c r="G291"/>
  <c r="G286"/>
  <c r="G293"/>
  <c r="E388"/>
  <c r="G197"/>
  <c r="G200"/>
  <c r="G209"/>
  <c r="G215"/>
  <c r="G218"/>
  <c r="G213"/>
  <c r="G220"/>
  <c r="E389"/>
  <c r="G159"/>
  <c r="G162"/>
  <c r="G171"/>
  <c r="G181"/>
  <c r="G175"/>
  <c r="G183"/>
  <c r="E390"/>
  <c r="G233"/>
  <c r="G236"/>
  <c r="G244"/>
  <c r="G254"/>
  <c r="G248"/>
  <c r="G256"/>
  <c r="E391"/>
  <c r="G306"/>
  <c r="G309"/>
  <c r="G319"/>
  <c r="G331"/>
  <c r="G323"/>
  <c r="G333"/>
  <c r="E392"/>
  <c r="E393"/>
  <c r="E394"/>
  <c r="F388"/>
  <c r="F389"/>
  <c r="F390"/>
  <c r="F391"/>
  <c r="F392"/>
  <c r="F393"/>
  <c r="F394"/>
  <c r="G388"/>
  <c r="G389"/>
  <c r="G390"/>
  <c r="G391"/>
  <c r="G392"/>
  <c r="G393"/>
  <c r="G394"/>
  <c r="H388"/>
  <c r="H389"/>
  <c r="H390"/>
  <c r="H391"/>
  <c r="H392"/>
  <c r="H393"/>
  <c r="H394"/>
  <c r="I388"/>
  <c r="I389"/>
  <c r="I390"/>
  <c r="I391"/>
  <c r="I392"/>
  <c r="I393"/>
  <c r="I394"/>
  <c r="L394"/>
  <c r="L393"/>
  <c r="L392"/>
  <c r="L391"/>
  <c r="L390"/>
  <c r="L389"/>
  <c r="L388"/>
  <c r="H8"/>
  <c r="H11"/>
  <c r="H19"/>
  <c r="H29"/>
  <c r="H23"/>
  <c r="H31"/>
  <c r="H45"/>
  <c r="H48"/>
  <c r="H57"/>
  <c r="H69"/>
  <c r="H61"/>
  <c r="H71"/>
  <c r="H84"/>
  <c r="H87"/>
  <c r="H95"/>
  <c r="H106"/>
  <c r="H99"/>
  <c r="H108"/>
  <c r="H121"/>
  <c r="H124"/>
  <c r="H133"/>
  <c r="H144"/>
  <c r="H137"/>
  <c r="H146"/>
  <c r="H159"/>
  <c r="H162"/>
  <c r="H171"/>
  <c r="H181"/>
  <c r="H175"/>
  <c r="H183"/>
  <c r="H197"/>
  <c r="H200"/>
  <c r="H209"/>
  <c r="H218"/>
  <c r="H213"/>
  <c r="H220"/>
  <c r="H233"/>
  <c r="H236"/>
  <c r="H244"/>
  <c r="H254"/>
  <c r="H248"/>
  <c r="H256"/>
  <c r="H270"/>
  <c r="H273"/>
  <c r="H282"/>
  <c r="H291"/>
  <c r="H286"/>
  <c r="H293"/>
  <c r="H306"/>
  <c r="H309"/>
  <c r="H319"/>
  <c r="H331"/>
  <c r="H323"/>
  <c r="H333"/>
  <c r="H345"/>
  <c r="H348"/>
  <c r="H357"/>
  <c r="H367"/>
  <c r="H361"/>
  <c r="H369"/>
  <c r="H379"/>
  <c r="H380"/>
  <c r="H382"/>
  <c r="G379"/>
  <c r="G380"/>
  <c r="G382"/>
  <c r="F8"/>
  <c r="F11"/>
  <c r="F19"/>
  <c r="F29"/>
  <c r="F23"/>
  <c r="F31"/>
  <c r="F45"/>
  <c r="F48"/>
  <c r="F57"/>
  <c r="F69"/>
  <c r="F61"/>
  <c r="F71"/>
  <c r="F84"/>
  <c r="F87"/>
  <c r="F95"/>
  <c r="F106"/>
  <c r="F99"/>
  <c r="F108"/>
  <c r="F121"/>
  <c r="F124"/>
  <c r="F133"/>
  <c r="F144"/>
  <c r="F137"/>
  <c r="F146"/>
  <c r="F159"/>
  <c r="F162"/>
  <c r="F171"/>
  <c r="F181"/>
  <c r="F175"/>
  <c r="F183"/>
  <c r="F197"/>
  <c r="F200"/>
  <c r="F209"/>
  <c r="F218"/>
  <c r="F213"/>
  <c r="F220"/>
  <c r="F233"/>
  <c r="F236"/>
  <c r="F244"/>
  <c r="F254"/>
  <c r="F248"/>
  <c r="F256"/>
  <c r="F270"/>
  <c r="F273"/>
  <c r="F282"/>
  <c r="F291"/>
  <c r="F286"/>
  <c r="F293"/>
  <c r="F306"/>
  <c r="F309"/>
  <c r="F319"/>
  <c r="F331"/>
  <c r="F323"/>
  <c r="F333"/>
  <c r="F345"/>
  <c r="F348"/>
  <c r="F357"/>
  <c r="F367"/>
  <c r="F361"/>
  <c r="F369"/>
  <c r="F379"/>
  <c r="F380"/>
  <c r="F382"/>
  <c r="E8"/>
  <c r="E11"/>
  <c r="E19"/>
  <c r="E29"/>
  <c r="E23"/>
  <c r="E31"/>
  <c r="E45"/>
  <c r="E48"/>
  <c r="E57"/>
  <c r="E69"/>
  <c r="E61"/>
  <c r="E71"/>
  <c r="E84"/>
  <c r="E87"/>
  <c r="E95"/>
  <c r="E106"/>
  <c r="E99"/>
  <c r="E108"/>
  <c r="E121"/>
  <c r="E124"/>
  <c r="E133"/>
  <c r="E144"/>
  <c r="E137"/>
  <c r="E146"/>
  <c r="E159"/>
  <c r="E162"/>
  <c r="E171"/>
  <c r="E181"/>
  <c r="E175"/>
  <c r="E183"/>
  <c r="E197"/>
  <c r="E200"/>
  <c r="E209"/>
  <c r="E218"/>
  <c r="E213"/>
  <c r="E220"/>
  <c r="E233"/>
  <c r="E236"/>
  <c r="E244"/>
  <c r="E254"/>
  <c r="E248"/>
  <c r="E256"/>
  <c r="E270"/>
  <c r="E273"/>
  <c r="E282"/>
  <c r="E291"/>
  <c r="E286"/>
  <c r="E293"/>
  <c r="E306"/>
  <c r="E309"/>
  <c r="E319"/>
  <c r="E331"/>
  <c r="E323"/>
  <c r="E333"/>
  <c r="E345"/>
  <c r="E348"/>
  <c r="E357"/>
  <c r="E367"/>
  <c r="E361"/>
  <c r="E369"/>
  <c r="E379"/>
  <c r="E380"/>
  <c r="E382"/>
  <c r="D8"/>
  <c r="D11"/>
  <c r="D19"/>
  <c r="D29"/>
  <c r="D23"/>
  <c r="D31"/>
  <c r="D45"/>
  <c r="D48"/>
  <c r="D57"/>
  <c r="D69"/>
  <c r="D61"/>
  <c r="D71"/>
  <c r="D84"/>
  <c r="D87"/>
  <c r="D95"/>
  <c r="D106"/>
  <c r="D99"/>
  <c r="D108"/>
  <c r="D121"/>
  <c r="D124"/>
  <c r="D133"/>
  <c r="D144"/>
  <c r="D137"/>
  <c r="D146"/>
  <c r="D159"/>
  <c r="D162"/>
  <c r="D171"/>
  <c r="D181"/>
  <c r="D175"/>
  <c r="D183"/>
  <c r="D197"/>
  <c r="D200"/>
  <c r="D209"/>
  <c r="D218"/>
  <c r="D213"/>
  <c r="D220"/>
  <c r="D233"/>
  <c r="D236"/>
  <c r="D244"/>
  <c r="D254"/>
  <c r="D248"/>
  <c r="D256"/>
  <c r="D270"/>
  <c r="D273"/>
  <c r="D282"/>
  <c r="D291"/>
  <c r="D286"/>
  <c r="D293"/>
  <c r="D306"/>
  <c r="D309"/>
  <c r="D319"/>
  <c r="D331"/>
  <c r="D323"/>
  <c r="D333"/>
  <c r="D345"/>
  <c r="D348"/>
  <c r="D357"/>
  <c r="D367"/>
  <c r="D361"/>
  <c r="D369"/>
  <c r="D379"/>
  <c r="D380"/>
  <c r="D382"/>
  <c r="H371"/>
  <c r="G371"/>
  <c r="F371"/>
  <c r="E371"/>
  <c r="D371"/>
  <c r="C367"/>
  <c r="C361"/>
  <c r="C348"/>
  <c r="H335"/>
  <c r="G335"/>
  <c r="F335"/>
  <c r="E335"/>
  <c r="D335"/>
  <c r="C331"/>
  <c r="C323"/>
  <c r="C309"/>
  <c r="H295"/>
  <c r="G295"/>
  <c r="F295"/>
  <c r="E295"/>
  <c r="D295"/>
  <c r="C291"/>
  <c r="C286"/>
  <c r="H258"/>
  <c r="G258"/>
  <c r="F258"/>
  <c r="E258"/>
  <c r="D258"/>
  <c r="C254"/>
  <c r="C248"/>
  <c r="H222"/>
  <c r="G222"/>
  <c r="F222"/>
  <c r="E222"/>
  <c r="D222"/>
  <c r="C218"/>
  <c r="C213"/>
  <c r="C200"/>
  <c r="H185"/>
  <c r="G185"/>
  <c r="F185"/>
  <c r="E185"/>
  <c r="D185"/>
  <c r="C181"/>
  <c r="C175"/>
  <c r="C162"/>
  <c r="H148"/>
  <c r="G148"/>
  <c r="F148"/>
  <c r="E148"/>
  <c r="D148"/>
  <c r="C144"/>
  <c r="C137"/>
  <c r="C124"/>
  <c r="H110"/>
  <c r="G110"/>
  <c r="F110"/>
  <c r="E110"/>
  <c r="D110"/>
  <c r="C106"/>
  <c r="C99"/>
  <c r="C95"/>
  <c r="C87"/>
  <c r="H73"/>
  <c r="G73"/>
  <c r="F73"/>
  <c r="E73"/>
  <c r="D73"/>
  <c r="C69"/>
  <c r="C61"/>
  <c r="C48"/>
  <c r="H33"/>
  <c r="G33"/>
  <c r="F33"/>
  <c r="E33"/>
  <c r="D33"/>
  <c r="C29"/>
  <c r="C23"/>
  <c r="H424" i="1"/>
  <c r="G424"/>
  <c r="F424"/>
  <c r="E424"/>
  <c r="D424"/>
  <c r="C424"/>
  <c r="H423"/>
  <c r="G423"/>
  <c r="F423"/>
  <c r="E423"/>
  <c r="D423"/>
  <c r="C423"/>
  <c r="G144"/>
  <c r="G121"/>
  <c r="G124"/>
  <c r="G133"/>
  <c r="G137"/>
  <c r="G146"/>
  <c r="H399"/>
  <c r="G29"/>
  <c r="G8"/>
  <c r="G11"/>
  <c r="G19"/>
  <c r="G23"/>
  <c r="G31"/>
  <c r="H400"/>
  <c r="G369"/>
  <c r="G347"/>
  <c r="G350"/>
  <c r="G359"/>
  <c r="G363"/>
  <c r="G371"/>
  <c r="H401"/>
  <c r="G106"/>
  <c r="G84"/>
  <c r="G87"/>
  <c r="G95"/>
  <c r="G99"/>
  <c r="G108"/>
  <c r="H402"/>
  <c r="G69"/>
  <c r="G45"/>
  <c r="G48"/>
  <c r="G57"/>
  <c r="G61"/>
  <c r="G71"/>
  <c r="H403"/>
  <c r="H404"/>
  <c r="H405"/>
  <c r="H422"/>
  <c r="G399"/>
  <c r="G400"/>
  <c r="G401"/>
  <c r="G402"/>
  <c r="G403"/>
  <c r="G404"/>
  <c r="G405"/>
  <c r="G422"/>
  <c r="F399"/>
  <c r="F400"/>
  <c r="F401"/>
  <c r="F402"/>
  <c r="F403"/>
  <c r="F404"/>
  <c r="F405"/>
  <c r="F422"/>
  <c r="E399"/>
  <c r="E400"/>
  <c r="E401"/>
  <c r="E402"/>
  <c r="E403"/>
  <c r="E404"/>
  <c r="E405"/>
  <c r="E422"/>
  <c r="D399"/>
  <c r="D400"/>
  <c r="D401"/>
  <c r="D402"/>
  <c r="D403"/>
  <c r="D404"/>
  <c r="D405"/>
  <c r="D422"/>
  <c r="C422"/>
  <c r="H421"/>
  <c r="G421"/>
  <c r="F421"/>
  <c r="E421"/>
  <c r="D421"/>
  <c r="C421"/>
  <c r="H420"/>
  <c r="G420"/>
  <c r="F420"/>
  <c r="E420"/>
  <c r="D420"/>
  <c r="C420"/>
  <c r="H419"/>
  <c r="G419"/>
  <c r="F419"/>
  <c r="E419"/>
  <c r="D419"/>
  <c r="C419"/>
  <c r="H418"/>
  <c r="G418"/>
  <c r="F418"/>
  <c r="E418"/>
  <c r="D418"/>
  <c r="C418"/>
  <c r="H417"/>
  <c r="G417"/>
  <c r="F417"/>
  <c r="E417"/>
  <c r="D417"/>
  <c r="C417"/>
  <c r="H416"/>
  <c r="G416"/>
  <c r="F416"/>
  <c r="E416"/>
  <c r="D416"/>
  <c r="C416"/>
  <c r="G287"/>
  <c r="G290"/>
  <c r="G269"/>
  <c r="G272"/>
  <c r="G281"/>
  <c r="G285"/>
  <c r="G292"/>
  <c r="H392"/>
  <c r="G214"/>
  <c r="G217"/>
  <c r="G196"/>
  <c r="G199"/>
  <c r="G208"/>
  <c r="G212"/>
  <c r="G219"/>
  <c r="H393"/>
  <c r="G181"/>
  <c r="G159"/>
  <c r="G162"/>
  <c r="G171"/>
  <c r="G175"/>
  <c r="G183"/>
  <c r="H394"/>
  <c r="G253"/>
  <c r="G232"/>
  <c r="G235"/>
  <c r="G243"/>
  <c r="G247"/>
  <c r="G255"/>
  <c r="H395"/>
  <c r="G332"/>
  <c r="G307"/>
  <c r="G310"/>
  <c r="G320"/>
  <c r="G324"/>
  <c r="G334"/>
  <c r="H396"/>
  <c r="H397"/>
  <c r="H398"/>
  <c r="H415"/>
  <c r="G392"/>
  <c r="G393"/>
  <c r="G394"/>
  <c r="G395"/>
  <c r="G396"/>
  <c r="G397"/>
  <c r="G398"/>
  <c r="G415"/>
  <c r="F392"/>
  <c r="F393"/>
  <c r="F394"/>
  <c r="F395"/>
  <c r="F396"/>
  <c r="F397"/>
  <c r="F398"/>
  <c r="F415"/>
  <c r="E392"/>
  <c r="E393"/>
  <c r="E394"/>
  <c r="E395"/>
  <c r="E396"/>
  <c r="E397"/>
  <c r="E398"/>
  <c r="E415"/>
  <c r="D392"/>
  <c r="D393"/>
  <c r="D394"/>
  <c r="D395"/>
  <c r="D396"/>
  <c r="D397"/>
  <c r="D398"/>
  <c r="D415"/>
  <c r="C415"/>
  <c r="H414"/>
  <c r="G414"/>
  <c r="F414"/>
  <c r="E414"/>
  <c r="D414"/>
  <c r="C414"/>
  <c r="H413"/>
  <c r="G413"/>
  <c r="F413"/>
  <c r="E413"/>
  <c r="D413"/>
  <c r="C413"/>
  <c r="H412"/>
  <c r="G412"/>
  <c r="F412"/>
  <c r="E412"/>
  <c r="D412"/>
  <c r="C412"/>
  <c r="H411"/>
  <c r="G411"/>
  <c r="F411"/>
  <c r="E411"/>
  <c r="D411"/>
  <c r="C411"/>
  <c r="H410"/>
  <c r="G410"/>
  <c r="F410"/>
  <c r="E410"/>
  <c r="D410"/>
  <c r="C410"/>
  <c r="H409"/>
  <c r="G409"/>
  <c r="F409"/>
  <c r="E409"/>
  <c r="D409"/>
  <c r="C409"/>
  <c r="H408"/>
  <c r="G408"/>
  <c r="F408"/>
  <c r="E408"/>
  <c r="D408"/>
  <c r="O405"/>
  <c r="O404"/>
  <c r="O403"/>
  <c r="O402"/>
  <c r="O401"/>
  <c r="O400"/>
  <c r="O399"/>
  <c r="O398"/>
  <c r="O397"/>
  <c r="O396"/>
  <c r="O395"/>
  <c r="O394"/>
  <c r="O393"/>
  <c r="O392"/>
  <c r="H8"/>
  <c r="H11"/>
  <c r="H19"/>
  <c r="H29"/>
  <c r="H23"/>
  <c r="H31"/>
  <c r="H45"/>
  <c r="H48"/>
  <c r="H57"/>
  <c r="H69"/>
  <c r="H61"/>
  <c r="H71"/>
  <c r="H84"/>
  <c r="H87"/>
  <c r="H95"/>
  <c r="H106"/>
  <c r="H99"/>
  <c r="H108"/>
  <c r="H121"/>
  <c r="H124"/>
  <c r="H133"/>
  <c r="H144"/>
  <c r="H137"/>
  <c r="H146"/>
  <c r="H159"/>
  <c r="H162"/>
  <c r="H181"/>
  <c r="H171"/>
  <c r="H175"/>
  <c r="H183"/>
  <c r="H196"/>
  <c r="H199"/>
  <c r="H208"/>
  <c r="H217"/>
  <c r="H212"/>
  <c r="H219"/>
  <c r="H232"/>
  <c r="H235"/>
  <c r="H243"/>
  <c r="H253"/>
  <c r="H247"/>
  <c r="H255"/>
  <c r="H269"/>
  <c r="H272"/>
  <c r="H281"/>
  <c r="H290"/>
  <c r="H285"/>
  <c r="H292"/>
  <c r="H307"/>
  <c r="H310"/>
  <c r="H320"/>
  <c r="H332"/>
  <c r="H324"/>
  <c r="H334"/>
  <c r="H347"/>
  <c r="H350"/>
  <c r="H359"/>
  <c r="H369"/>
  <c r="H363"/>
  <c r="H371"/>
  <c r="H382"/>
  <c r="H383"/>
  <c r="H385"/>
  <c r="G382"/>
  <c r="G383"/>
  <c r="G385"/>
  <c r="F8"/>
  <c r="F11"/>
  <c r="F19"/>
  <c r="F29"/>
  <c r="F23"/>
  <c r="F31"/>
  <c r="F45"/>
  <c r="F48"/>
  <c r="F57"/>
  <c r="F69"/>
  <c r="F61"/>
  <c r="F71"/>
  <c r="F84"/>
  <c r="F87"/>
  <c r="F95"/>
  <c r="F106"/>
  <c r="F99"/>
  <c r="F108"/>
  <c r="F121"/>
  <c r="F124"/>
  <c r="F133"/>
  <c r="F144"/>
  <c r="F137"/>
  <c r="F146"/>
  <c r="F159"/>
  <c r="F162"/>
  <c r="F181"/>
  <c r="F171"/>
  <c r="F175"/>
  <c r="F183"/>
  <c r="F196"/>
  <c r="F199"/>
  <c r="F208"/>
  <c r="F217"/>
  <c r="F212"/>
  <c r="F219"/>
  <c r="F232"/>
  <c r="F235"/>
  <c r="F243"/>
  <c r="F253"/>
  <c r="F247"/>
  <c r="F255"/>
  <c r="F269"/>
  <c r="F272"/>
  <c r="F281"/>
  <c r="F290"/>
  <c r="F285"/>
  <c r="F292"/>
  <c r="F307"/>
  <c r="F310"/>
  <c r="F320"/>
  <c r="F332"/>
  <c r="F324"/>
  <c r="F334"/>
  <c r="F347"/>
  <c r="F350"/>
  <c r="F359"/>
  <c r="F369"/>
  <c r="F363"/>
  <c r="F371"/>
  <c r="F382"/>
  <c r="F383"/>
  <c r="F385"/>
  <c r="E8"/>
  <c r="E11"/>
  <c r="E19"/>
  <c r="E29"/>
  <c r="E23"/>
  <c r="E31"/>
  <c r="E45"/>
  <c r="E48"/>
  <c r="E57"/>
  <c r="E69"/>
  <c r="E61"/>
  <c r="E71"/>
  <c r="E84"/>
  <c r="E87"/>
  <c r="E95"/>
  <c r="E106"/>
  <c r="E99"/>
  <c r="E108"/>
  <c r="E121"/>
  <c r="E124"/>
  <c r="E133"/>
  <c r="E144"/>
  <c r="E137"/>
  <c r="E146"/>
  <c r="E159"/>
  <c r="E162"/>
  <c r="E181"/>
  <c r="E171"/>
  <c r="E175"/>
  <c r="E183"/>
  <c r="E196"/>
  <c r="E199"/>
  <c r="E208"/>
  <c r="E217"/>
  <c r="E212"/>
  <c r="E219"/>
  <c r="E232"/>
  <c r="E235"/>
  <c r="E243"/>
  <c r="E253"/>
  <c r="E247"/>
  <c r="E255"/>
  <c r="E269"/>
  <c r="E272"/>
  <c r="E281"/>
  <c r="E290"/>
  <c r="E285"/>
  <c r="E292"/>
  <c r="E307"/>
  <c r="E310"/>
  <c r="E320"/>
  <c r="E332"/>
  <c r="E324"/>
  <c r="E334"/>
  <c r="E347"/>
  <c r="E350"/>
  <c r="E359"/>
  <c r="E369"/>
  <c r="E363"/>
  <c r="E371"/>
  <c r="E382"/>
  <c r="E383"/>
  <c r="E385"/>
  <c r="D8"/>
  <c r="D11"/>
  <c r="D19"/>
  <c r="D29"/>
  <c r="D23"/>
  <c r="D31"/>
  <c r="D45"/>
  <c r="D48"/>
  <c r="D57"/>
  <c r="D69"/>
  <c r="D61"/>
  <c r="D71"/>
  <c r="D84"/>
  <c r="D87"/>
  <c r="D95"/>
  <c r="D106"/>
  <c r="D99"/>
  <c r="D108"/>
  <c r="D121"/>
  <c r="D124"/>
  <c r="D133"/>
  <c r="D144"/>
  <c r="D137"/>
  <c r="D146"/>
  <c r="D159"/>
  <c r="D162"/>
  <c r="D181"/>
  <c r="D171"/>
  <c r="D175"/>
  <c r="D183"/>
  <c r="D196"/>
  <c r="D199"/>
  <c r="D208"/>
  <c r="D217"/>
  <c r="D212"/>
  <c r="D219"/>
  <c r="D232"/>
  <c r="D235"/>
  <c r="D243"/>
  <c r="D253"/>
  <c r="D247"/>
  <c r="D255"/>
  <c r="D269"/>
  <c r="D272"/>
  <c r="D281"/>
  <c r="D290"/>
  <c r="D285"/>
  <c r="D292"/>
  <c r="D307"/>
  <c r="D310"/>
  <c r="D320"/>
  <c r="D332"/>
  <c r="D324"/>
  <c r="D334"/>
  <c r="D347"/>
  <c r="D350"/>
  <c r="D359"/>
  <c r="D369"/>
  <c r="D363"/>
  <c r="D371"/>
  <c r="D382"/>
  <c r="D383"/>
  <c r="D385"/>
  <c r="H373"/>
  <c r="G373"/>
  <c r="F373"/>
  <c r="E373"/>
  <c r="D373"/>
  <c r="C369"/>
  <c r="C363"/>
  <c r="C350"/>
  <c r="H336"/>
  <c r="G336"/>
  <c r="F336"/>
  <c r="E336"/>
  <c r="D336"/>
  <c r="C332"/>
  <c r="C324"/>
  <c r="C310"/>
  <c r="H294"/>
  <c r="G294"/>
  <c r="F294"/>
  <c r="E294"/>
  <c r="D294"/>
  <c r="C290"/>
  <c r="C285"/>
  <c r="C272"/>
  <c r="H257"/>
  <c r="G257"/>
  <c r="F257"/>
  <c r="E257"/>
  <c r="D257"/>
  <c r="C253"/>
  <c r="C247"/>
  <c r="C235"/>
  <c r="H221"/>
  <c r="G221"/>
  <c r="F221"/>
  <c r="E221"/>
  <c r="D221"/>
  <c r="C217"/>
  <c r="C212"/>
  <c r="C199"/>
  <c r="H185"/>
  <c r="G185"/>
  <c r="F185"/>
  <c r="E185"/>
  <c r="D185"/>
  <c r="C181"/>
  <c r="C175"/>
  <c r="C162"/>
  <c r="H148"/>
  <c r="G148"/>
  <c r="F148"/>
  <c r="E148"/>
  <c r="D148"/>
  <c r="C144"/>
  <c r="C137"/>
  <c r="C124"/>
  <c r="H110"/>
  <c r="G110"/>
  <c r="F110"/>
  <c r="E110"/>
  <c r="D110"/>
  <c r="C106"/>
  <c r="C99"/>
  <c r="C95"/>
  <c r="C87"/>
  <c r="H73"/>
  <c r="G73"/>
  <c r="F73"/>
  <c r="E73"/>
  <c r="D73"/>
  <c r="C69"/>
  <c r="C61"/>
  <c r="C48"/>
  <c r="H33"/>
  <c r="G33"/>
  <c r="F33"/>
  <c r="E33"/>
  <c r="D33"/>
  <c r="C29"/>
  <c r="C23"/>
  <c r="C11"/>
</calcChain>
</file>

<file path=xl/sharedStrings.xml><?xml version="1.0" encoding="utf-8"?>
<sst xmlns="http://schemas.openxmlformats.org/spreadsheetml/2006/main" count="1416" uniqueCount="204">
  <si>
    <t>№ ТК</t>
  </si>
  <si>
    <t>Прием пищи</t>
  </si>
  <si>
    <t>Выход блюда</t>
  </si>
  <si>
    <t>Пищевые вещества (г)</t>
  </si>
  <si>
    <t>Энергетическая ценность (ккал)</t>
  </si>
  <si>
    <t>Витамин С, мг</t>
  </si>
  <si>
    <t>№ ТТК</t>
  </si>
  <si>
    <t>Б</t>
  </si>
  <si>
    <t>Ж</t>
  </si>
  <si>
    <t>У</t>
  </si>
  <si>
    <t>День 7, 2 неделя</t>
  </si>
  <si>
    <t xml:space="preserve">Завтрак </t>
  </si>
  <si>
    <t>Каша "Дружба"</t>
  </si>
  <si>
    <t>150</t>
  </si>
  <si>
    <t>Чай с сахаром</t>
  </si>
  <si>
    <t>Бутерброд  с маслом и сыром</t>
  </si>
  <si>
    <t>20/5/9</t>
  </si>
  <si>
    <t xml:space="preserve">Итого </t>
  </si>
  <si>
    <t>364</t>
  </si>
  <si>
    <t>2 завтрак</t>
  </si>
  <si>
    <t>ГП</t>
  </si>
  <si>
    <t>Сок фруктовый (овощной)</t>
  </si>
  <si>
    <t>100</t>
  </si>
  <si>
    <t xml:space="preserve">Обед </t>
  </si>
  <si>
    <t>Обед</t>
  </si>
  <si>
    <t>Сельдь с луком репчатым</t>
  </si>
  <si>
    <t>40</t>
  </si>
  <si>
    <t>Суп картофельный с бобовыми, с мясом птицы</t>
  </si>
  <si>
    <t>150/8</t>
  </si>
  <si>
    <t>Жаркое по-домашнему</t>
  </si>
  <si>
    <t>170</t>
  </si>
  <si>
    <t>Кисель из ягод свежих</t>
  </si>
  <si>
    <t xml:space="preserve">Хлеб пшеничный </t>
  </si>
  <si>
    <t xml:space="preserve">Хлеб ржаной </t>
  </si>
  <si>
    <t>Итого</t>
  </si>
  <si>
    <t>Полдник</t>
  </si>
  <si>
    <t>Кондитерские изделия (печенье, или вафли, или пряники, или др.)</t>
  </si>
  <si>
    <t>20</t>
  </si>
  <si>
    <t>Кисломолочный продукт или молоко кипяченое</t>
  </si>
  <si>
    <t>180</t>
  </si>
  <si>
    <t>21/74</t>
  </si>
  <si>
    <t>Ужин</t>
  </si>
  <si>
    <t>Пудинг творожный запеченный</t>
  </si>
  <si>
    <t>Молоко сгущенное</t>
  </si>
  <si>
    <t>Фрукты свежие (яблоко, груша, банан и др.) или плоды консервированные, ягоды свежемороженные</t>
  </si>
  <si>
    <t>Какао с молоком</t>
  </si>
  <si>
    <t>Эн/ц</t>
  </si>
  <si>
    <t>С</t>
  </si>
  <si>
    <t>Итого за седьмой день</t>
  </si>
  <si>
    <t xml:space="preserve">Суточная потребность </t>
  </si>
  <si>
    <t>Процент удовлетворения суточной потребности</t>
  </si>
  <si>
    <t xml:space="preserve">Примечание: ГП - готовый продукт.   </t>
  </si>
  <si>
    <t>Ежедневная нормы выдачи соли пищевой поваренной - 3 гр.</t>
  </si>
  <si>
    <t>День 10, 2 неделя</t>
  </si>
  <si>
    <t>Завтрак</t>
  </si>
  <si>
    <t xml:space="preserve">Омлет натуральный </t>
  </si>
  <si>
    <t>Икра кабачковая (промышленного производства)</t>
  </si>
  <si>
    <t>80</t>
  </si>
  <si>
    <t>Чай с лимоном</t>
  </si>
  <si>
    <t>Салат из свеклы с чесноком</t>
  </si>
  <si>
    <t>Щи из свежей капусты с картофелем со сметаной, с мясом птицы</t>
  </si>
  <si>
    <t>155/8</t>
  </si>
  <si>
    <t>Гуляш</t>
  </si>
  <si>
    <t>30/30</t>
  </si>
  <si>
    <t>Каша рассыпчатая</t>
  </si>
  <si>
    <t>Компот из сухофруктов</t>
  </si>
  <si>
    <t>603</t>
  </si>
  <si>
    <t>30</t>
  </si>
  <si>
    <t>Котлеты, биточки, шницели рыбные или тефтели рыбные</t>
  </si>
  <si>
    <t>60</t>
  </si>
  <si>
    <t>29/80</t>
  </si>
  <si>
    <t>Овощи натуральные соленые или свежие</t>
  </si>
  <si>
    <t>Картофель отварной</t>
  </si>
  <si>
    <t>Кофейный напиток с молоком</t>
  </si>
  <si>
    <t>Итого за десятый день</t>
  </si>
  <si>
    <t>День 9, 2 неделя</t>
  </si>
  <si>
    <t>Суп молочный с макаронными изделиями</t>
  </si>
  <si>
    <t>Салат из моркови с зеленым горошком (или кукурузой)</t>
  </si>
  <si>
    <t xml:space="preserve">Суп картофельный с мясными фрикадельками </t>
  </si>
  <si>
    <t>Плов из отварной говядины</t>
  </si>
  <si>
    <t>Напиток из шиповника</t>
  </si>
  <si>
    <t xml:space="preserve">Полдник  </t>
  </si>
  <si>
    <t>Ватрушка с творогом из дрожжевого теста</t>
  </si>
  <si>
    <t>50</t>
  </si>
  <si>
    <t>Рыба по-польски</t>
  </si>
  <si>
    <t>Картофель тушеный</t>
  </si>
  <si>
    <t>Чай с молоком</t>
  </si>
  <si>
    <t>Итого за девятый день</t>
  </si>
  <si>
    <t>День 6, 2 неделя</t>
  </si>
  <si>
    <t>Каша из хлопьев овсяных "Геркулес" жидкая или каша манная молочная жидкая</t>
  </si>
  <si>
    <t>Бутерброд  с маслом</t>
  </si>
  <si>
    <t>20/6</t>
  </si>
  <si>
    <t>356</t>
  </si>
  <si>
    <t xml:space="preserve">Салат из морской капусты с яйцом и луком </t>
  </si>
  <si>
    <t>Суп "Харчо" со сметаной, с мясом</t>
  </si>
  <si>
    <t>155/6</t>
  </si>
  <si>
    <t>Котлеты, биточки, шницели из говядины</t>
  </si>
  <si>
    <t xml:space="preserve">Макаронные изделия отварные </t>
  </si>
  <si>
    <t>Блинчики с молоком сгущенным</t>
  </si>
  <si>
    <t>90</t>
  </si>
  <si>
    <t>Рыба, тушеная в томате с овощами</t>
  </si>
  <si>
    <t>Итого за шестой день</t>
  </si>
  <si>
    <t>День 3, 1 неделя</t>
  </si>
  <si>
    <t>316</t>
  </si>
  <si>
    <t>Борщ с капустой свежей и картофелем со сметаной, с мясом</t>
  </si>
  <si>
    <t>Суфле из бройлеров-цыплят</t>
  </si>
  <si>
    <t>601</t>
  </si>
  <si>
    <t>Булочка дорожная</t>
  </si>
  <si>
    <t>70</t>
  </si>
  <si>
    <t>Капуста тушеная с мясом</t>
  </si>
  <si>
    <t>250</t>
  </si>
  <si>
    <t>Итого за третий день</t>
  </si>
  <si>
    <t>День 2, 1 неделя</t>
  </si>
  <si>
    <t>Суп молочный с крупой</t>
  </si>
  <si>
    <t>Рыба, тушенная в сметанном соусе</t>
  </si>
  <si>
    <t>Картофельное пюре</t>
  </si>
  <si>
    <t xml:space="preserve">Компот из  свежих фруктов </t>
  </si>
  <si>
    <t>Сырники из творога запеченные с молоком сгущенным</t>
  </si>
  <si>
    <t>160</t>
  </si>
  <si>
    <t>Итого за второй день</t>
  </si>
  <si>
    <t>День 4, 1 неделя</t>
  </si>
  <si>
    <t>Каша рисовая молочная жидкая</t>
  </si>
  <si>
    <t>Бутерброд  с молоком сгущенным</t>
  </si>
  <si>
    <t>20/10</t>
  </si>
  <si>
    <t>360</t>
  </si>
  <si>
    <t>Кукуруза с яйцом и луком</t>
  </si>
  <si>
    <t>Суп шахтерский со сметаной, с мясом</t>
  </si>
  <si>
    <t>Сушка на сметане</t>
  </si>
  <si>
    <t>Суп с рыбными консервами</t>
  </si>
  <si>
    <t>Итого за четвертый день</t>
  </si>
  <si>
    <t>Возрастная категория: 1-3 лет, 12 часовое пребывание</t>
  </si>
  <si>
    <t>День 1, 1 неделя</t>
  </si>
  <si>
    <t>Каша пшенная молочная жидкая</t>
  </si>
  <si>
    <t>Салат из зеленого горошка (кукурузы) с луком репчатым</t>
  </si>
  <si>
    <t>Рассольник ленинградский со сметаной, с мясом</t>
  </si>
  <si>
    <t>Капуста тушеная</t>
  </si>
  <si>
    <t>Вареники ленивые с маслом сливочным</t>
  </si>
  <si>
    <t>122</t>
  </si>
  <si>
    <t>Итого за первый день</t>
  </si>
  <si>
    <t>День 5, 1 неделя</t>
  </si>
  <si>
    <t>454</t>
  </si>
  <si>
    <t xml:space="preserve">Свекольник со сметаной, с мясом </t>
  </si>
  <si>
    <t xml:space="preserve">Тефтели из говядины с рисом </t>
  </si>
  <si>
    <t>Соус красный основной</t>
  </si>
  <si>
    <t>Крендель сахарный</t>
  </si>
  <si>
    <t>Голубцы  ленивые</t>
  </si>
  <si>
    <t>Соус сметанный натуральный</t>
  </si>
  <si>
    <t>Винегрет овощной</t>
  </si>
  <si>
    <t>Итого за пятый день</t>
  </si>
  <si>
    <t>День 8, 2 неделя</t>
  </si>
  <si>
    <t>Каша молочная пшеничная (кукурузная) жидкая</t>
  </si>
  <si>
    <t>Суп с клецками со сметаной, с мясом птицы</t>
  </si>
  <si>
    <t>Бефстроганов из отварной говядины</t>
  </si>
  <si>
    <t>Бутерброд с джемом или повидлом</t>
  </si>
  <si>
    <t>Фрукты свежие (яблоко, груша, банан и др.)</t>
  </si>
  <si>
    <t>Итого за восьмой день</t>
  </si>
  <si>
    <t>Средние показатели содержания пищевых веществ, энергетической ценности и микронутриентов рациона питания детей 1-3 лет</t>
  </si>
  <si>
    <t>Итого за 10 дней</t>
  </si>
  <si>
    <t>Итого за 1 дней</t>
  </si>
  <si>
    <t>Суточная потребность</t>
  </si>
  <si>
    <t>завтрак</t>
  </si>
  <si>
    <t>2 зав</t>
  </si>
  <si>
    <t>обед</t>
  </si>
  <si>
    <t>полдник</t>
  </si>
  <si>
    <t>ужин</t>
  </si>
  <si>
    <t>1</t>
  </si>
  <si>
    <t>2</t>
  </si>
  <si>
    <t>3</t>
  </si>
  <si>
    <t>4</t>
  </si>
  <si>
    <t>5</t>
  </si>
  <si>
    <t>Ср.знач.</t>
  </si>
  <si>
    <t>6</t>
  </si>
  <si>
    <t>7</t>
  </si>
  <si>
    <t>8</t>
  </si>
  <si>
    <t>9</t>
  </si>
  <si>
    <t>10</t>
  </si>
  <si>
    <t>200</t>
  </si>
  <si>
    <t>25/5/13</t>
  </si>
  <si>
    <t>443</t>
  </si>
  <si>
    <t>Напиток ватаминизированный "Витошка" или др.</t>
  </si>
  <si>
    <t>200/10</t>
  </si>
  <si>
    <t>Ежедневная нормы выдачи соли пищевой поваренной - 5 гр.</t>
  </si>
  <si>
    <t>206/10</t>
  </si>
  <si>
    <t>40/40</t>
  </si>
  <si>
    <t>821</t>
  </si>
  <si>
    <t>220</t>
  </si>
  <si>
    <t>25/6</t>
  </si>
  <si>
    <t>431</t>
  </si>
  <si>
    <t>206/8</t>
  </si>
  <si>
    <t>105</t>
  </si>
  <si>
    <t>809</t>
  </si>
  <si>
    <t>110</t>
  </si>
  <si>
    <t>185</t>
  </si>
  <si>
    <t>25/15</t>
  </si>
  <si>
    <t>440</t>
  </si>
  <si>
    <t>Возрастная категория: 3-7 лет, 12 часовое пребывание</t>
  </si>
  <si>
    <t>153</t>
  </si>
  <si>
    <t>Итого за перый день</t>
  </si>
  <si>
    <t>493</t>
  </si>
  <si>
    <t>Средние показатели содержания пищевых веществ, энергетической ценности и микронутриентов рациона питания детей 3-7 лет</t>
  </si>
  <si>
    <t>50/50</t>
  </si>
  <si>
    <t>1/4 шт.</t>
  </si>
  <si>
    <t>1/13 шт.</t>
  </si>
  <si>
    <t>1/8 шт.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</si>
</sst>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name val="Calibri"/>
    </font>
    <font>
      <sz val="55"/>
      <color indexed="8"/>
      <name val="Times New Roman"/>
    </font>
    <font>
      <b/>
      <sz val="55"/>
      <color indexed="8"/>
      <name val="Times New Roman"/>
    </font>
    <font>
      <sz val="14"/>
      <name val="Times New Roman"/>
    </font>
    <font>
      <sz val="14"/>
      <color indexed="8"/>
      <name val="Times New Roman"/>
    </font>
    <font>
      <sz val="11"/>
      <color indexed="8"/>
      <name val="Times New Roman"/>
    </font>
    <font>
      <sz val="50"/>
      <color indexed="8"/>
      <name val="Times New Roman"/>
    </font>
    <font>
      <sz val="55"/>
      <color indexed="8"/>
      <name val="Times New Roman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84">
    <xf numFmtId="0" fontId="0" fillId="0" borderId="0" xfId="0" applyNumberFormat="1" applyFont="1"/>
    <xf numFmtId="2" fontId="1" fillId="0" borderId="0" xfId="0" applyNumberFormat="1" applyFont="1"/>
    <xf numFmtId="0" fontId="1" fillId="0" borderId="0" xfId="0" applyNumberFormat="1" applyFont="1"/>
    <xf numFmtId="2" fontId="1" fillId="0" borderId="1" xfId="0" applyNumberFormat="1" applyFont="1" applyBorder="1"/>
    <xf numFmtId="49" fontId="1" fillId="0" borderId="0" xfId="0" applyNumberFormat="1" applyFont="1"/>
    <xf numFmtId="0" fontId="1" fillId="0" borderId="2" xfId="0" applyNumberFormat="1" applyFont="1" applyBorder="1"/>
    <xf numFmtId="0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wrapText="1"/>
    </xf>
    <xf numFmtId="2" fontId="2" fillId="0" borderId="7" xfId="0" applyNumberFormat="1" applyFont="1" applyBorder="1" applyAlignment="1">
      <alignment wrapText="1"/>
    </xf>
    <xf numFmtId="2" fontId="2" fillId="0" borderId="8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0" fontId="1" fillId="0" borderId="3" xfId="0" applyNumberFormat="1" applyFont="1" applyBorder="1" applyAlignment="1">
      <alignment horizontal="center" wrapText="1"/>
    </xf>
    <xf numFmtId="0" fontId="1" fillId="0" borderId="9" xfId="0" applyNumberFormat="1" applyFont="1" applyBorder="1" applyAlignment="1">
      <alignment horizontal="left" wrapText="1"/>
    </xf>
    <xf numFmtId="49" fontId="1" fillId="0" borderId="9" xfId="0" applyNumberFormat="1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1" fillId="0" borderId="9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wrapText="1"/>
    </xf>
    <xf numFmtId="1" fontId="1" fillId="0" borderId="9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wrapText="1"/>
    </xf>
    <xf numFmtId="2" fontId="1" fillId="0" borderId="9" xfId="0" applyNumberFormat="1" applyFont="1" applyFill="1" applyBorder="1" applyAlignment="1">
      <alignment wrapText="1"/>
    </xf>
    <xf numFmtId="2" fontId="2" fillId="0" borderId="10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left" wrapText="1"/>
    </xf>
    <xf numFmtId="2" fontId="2" fillId="0" borderId="7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 wrapText="1"/>
    </xf>
    <xf numFmtId="49" fontId="1" fillId="0" borderId="8" xfId="0" applyNumberFormat="1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/>
    </xf>
    <xf numFmtId="1" fontId="1" fillId="0" borderId="0" xfId="0" applyNumberFormat="1" applyFont="1"/>
    <xf numFmtId="2" fontId="2" fillId="0" borderId="6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 wrapText="1"/>
    </xf>
    <xf numFmtId="2" fontId="1" fillId="0" borderId="10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wrapText="1"/>
    </xf>
    <xf numFmtId="1" fontId="1" fillId="0" borderId="9" xfId="0" applyNumberFormat="1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2" fontId="2" fillId="0" borderId="10" xfId="0" applyNumberFormat="1" applyFont="1" applyFill="1" applyBorder="1" applyAlignment="1">
      <alignment horizontal="center" wrapText="1"/>
    </xf>
    <xf numFmtId="2" fontId="2" fillId="0" borderId="9" xfId="0" applyNumberFormat="1" applyFont="1" applyFill="1" applyBorder="1" applyAlignment="1">
      <alignment wrapText="1"/>
    </xf>
    <xf numFmtId="2" fontId="2" fillId="0" borderId="4" xfId="0" applyNumberFormat="1" applyFont="1" applyFill="1" applyBorder="1" applyAlignment="1">
      <alignment horizontal="left" wrapText="1"/>
    </xf>
    <xf numFmtId="2" fontId="1" fillId="0" borderId="4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2" fontId="2" fillId="0" borderId="0" xfId="0" applyNumberFormat="1" applyFont="1" applyFill="1" applyAlignment="1">
      <alignment horizontal="left" wrapText="1"/>
    </xf>
    <xf numFmtId="2" fontId="2" fillId="0" borderId="0" xfId="0" applyNumberFormat="1" applyFont="1" applyFill="1" applyAlignment="1">
      <alignment horizontal="center" wrapText="1"/>
    </xf>
    <xf numFmtId="2" fontId="1" fillId="0" borderId="0" xfId="0" applyNumberFormat="1" applyFont="1" applyFill="1" applyAlignment="1">
      <alignment horizontal="center" wrapText="1"/>
    </xf>
    <xf numFmtId="0" fontId="2" fillId="0" borderId="0" xfId="0" applyNumberFormat="1" applyFont="1" applyFill="1" applyAlignment="1">
      <alignment horizontal="center" wrapText="1"/>
    </xf>
    <xf numFmtId="2" fontId="1" fillId="0" borderId="0" xfId="0" applyNumberFormat="1" applyFont="1" applyFill="1"/>
    <xf numFmtId="49" fontId="1" fillId="0" borderId="0" xfId="0" applyNumberFormat="1" applyFont="1" applyFill="1"/>
    <xf numFmtId="2" fontId="2" fillId="0" borderId="6" xfId="0" applyNumberFormat="1" applyFont="1" applyFill="1" applyBorder="1" applyAlignment="1">
      <alignment horizontal="left" wrapText="1"/>
    </xf>
    <xf numFmtId="2" fontId="2" fillId="0" borderId="7" xfId="0" applyNumberFormat="1" applyFont="1" applyFill="1" applyBorder="1" applyAlignment="1">
      <alignment horizontal="center" wrapText="1"/>
    </xf>
    <xf numFmtId="2" fontId="2" fillId="0" borderId="11" xfId="0" applyNumberFormat="1" applyFont="1" applyFill="1" applyBorder="1" applyAlignment="1">
      <alignment horizontal="center" wrapText="1"/>
    </xf>
    <xf numFmtId="2" fontId="1" fillId="0" borderId="6" xfId="0" applyNumberFormat="1" applyFont="1" applyFill="1" applyBorder="1" applyAlignment="1">
      <alignment horizontal="center" wrapText="1"/>
    </xf>
    <xf numFmtId="49" fontId="1" fillId="0" borderId="9" xfId="0" applyNumberFormat="1" applyFont="1" applyFill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left" wrapText="1"/>
    </xf>
    <xf numFmtId="2" fontId="1" fillId="0" borderId="8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 wrapText="1"/>
    </xf>
    <xf numFmtId="2" fontId="1" fillId="0" borderId="10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horizontal="center" wrapText="1"/>
    </xf>
    <xf numFmtId="2" fontId="2" fillId="0" borderId="12" xfId="0" applyNumberFormat="1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1" fillId="0" borderId="7" xfId="0" applyNumberFormat="1" applyFont="1" applyBorder="1"/>
    <xf numFmtId="2" fontId="2" fillId="0" borderId="6" xfId="0" applyNumberFormat="1" applyFont="1" applyFill="1" applyBorder="1" applyAlignment="1">
      <alignment wrapText="1"/>
    </xf>
    <xf numFmtId="0" fontId="1" fillId="0" borderId="8" xfId="0" applyNumberFormat="1" applyFont="1" applyFill="1" applyBorder="1"/>
    <xf numFmtId="0" fontId="1" fillId="0" borderId="0" xfId="0" applyNumberFormat="1" applyFont="1" applyFill="1"/>
    <xf numFmtId="49" fontId="1" fillId="0" borderId="14" xfId="0" applyNumberFormat="1" applyFont="1" applyFill="1" applyBorder="1"/>
    <xf numFmtId="2" fontId="1" fillId="0" borderId="14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2" xfId="0" applyNumberFormat="1" applyFont="1" applyFill="1" applyBorder="1"/>
    <xf numFmtId="2" fontId="1" fillId="0" borderId="2" xfId="0" applyNumberFormat="1" applyFont="1" applyFill="1" applyBorder="1"/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textRotation="45"/>
    </xf>
    <xf numFmtId="2" fontId="1" fillId="0" borderId="12" xfId="0" applyNumberFormat="1" applyFont="1" applyBorder="1"/>
    <xf numFmtId="2" fontId="2" fillId="0" borderId="7" xfId="0" applyNumberFormat="1" applyFont="1" applyFill="1" applyBorder="1" applyAlignment="1">
      <alignment wrapText="1"/>
    </xf>
    <xf numFmtId="2" fontId="2" fillId="0" borderId="8" xfId="0" applyNumberFormat="1" applyFont="1" applyFill="1" applyBorder="1" applyAlignment="1">
      <alignment wrapText="1"/>
    </xf>
    <xf numFmtId="0" fontId="1" fillId="0" borderId="9" xfId="0" applyNumberFormat="1" applyFont="1" applyFill="1" applyBorder="1" applyAlignment="1">
      <alignment horizontal="left" wrapText="1"/>
    </xf>
    <xf numFmtId="49" fontId="1" fillId="0" borderId="10" xfId="0" applyNumberFormat="1" applyFont="1" applyFill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wrapText="1"/>
    </xf>
    <xf numFmtId="49" fontId="1" fillId="0" borderId="16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4" fillId="0" borderId="4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 wrapText="1"/>
    </xf>
    <xf numFmtId="0" fontId="4" fillId="0" borderId="10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/>
    </xf>
    <xf numFmtId="2" fontId="6" fillId="0" borderId="10" xfId="0" applyNumberFormat="1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wrapText="1"/>
    </xf>
    <xf numFmtId="0" fontId="2" fillId="0" borderId="19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2" fontId="2" fillId="0" borderId="7" xfId="0" applyNumberFormat="1" applyFont="1" applyFill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wrapText="1"/>
    </xf>
    <xf numFmtId="2" fontId="2" fillId="0" borderId="9" xfId="0" applyNumberFormat="1" applyFont="1" applyFill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19" xfId="0" applyNumberFormat="1" applyFont="1" applyBorder="1" applyAlignment="1">
      <alignment horizontal="center" wrapText="1"/>
    </xf>
    <xf numFmtId="2" fontId="2" fillId="0" borderId="13" xfId="0" applyNumberFormat="1" applyFont="1" applyFill="1" applyBorder="1" applyAlignment="1">
      <alignment horizontal="left" wrapText="1"/>
    </xf>
    <xf numFmtId="2" fontId="2" fillId="0" borderId="17" xfId="0" applyNumberFormat="1" applyFont="1" applyFill="1" applyBorder="1" applyAlignment="1">
      <alignment horizontal="left" wrapText="1"/>
    </xf>
    <xf numFmtId="2" fontId="2" fillId="0" borderId="16" xfId="0" applyNumberFormat="1" applyFont="1" applyFill="1" applyBorder="1" applyAlignment="1">
      <alignment horizontal="left" wrapText="1"/>
    </xf>
    <xf numFmtId="49" fontId="2" fillId="0" borderId="4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wrapText="1"/>
    </xf>
    <xf numFmtId="2" fontId="2" fillId="0" borderId="10" xfId="0" applyNumberFormat="1" applyFont="1" applyFill="1" applyBorder="1" applyAlignment="1">
      <alignment horizontal="center" wrapText="1"/>
    </xf>
    <xf numFmtId="2" fontId="2" fillId="0" borderId="11" xfId="0" applyNumberFormat="1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 wrapText="1"/>
    </xf>
    <xf numFmtId="2" fontId="1" fillId="0" borderId="8" xfId="0" applyNumberFormat="1" applyFont="1" applyFill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28"/>
  <sheetViews>
    <sheetView tabSelected="1" topLeftCell="B1" workbookViewId="0">
      <selection sqref="A1:A2"/>
    </sheetView>
  </sheetViews>
  <sheetFormatPr defaultColWidth="9" defaultRowHeight="70.2"/>
  <cols>
    <col min="1" max="1" width="17.77734375" style="2" hidden="1" customWidth="1"/>
    <col min="2" max="2" width="152" style="3" customWidth="1"/>
    <col min="3" max="3" width="43.88671875" style="4" customWidth="1"/>
    <col min="4" max="4" width="49.33203125" style="1" customWidth="1"/>
    <col min="5" max="5" width="41.77734375" style="1" customWidth="1"/>
    <col min="6" max="6" width="45.44140625" style="1" customWidth="1"/>
    <col min="7" max="7" width="88.77734375" style="1" customWidth="1"/>
    <col min="8" max="8" width="56.109375" style="1" customWidth="1"/>
    <col min="9" max="9" width="55.5546875" style="5" customWidth="1"/>
    <col min="10" max="10" width="10.77734375" style="1" bestFit="1" customWidth="1"/>
    <col min="11" max="14" width="9" style="1" customWidth="1"/>
    <col min="15" max="15" width="40.5546875" style="1" customWidth="1"/>
    <col min="16" max="16" width="9" style="1" customWidth="1"/>
    <col min="17" max="16384" width="9" style="1"/>
  </cols>
  <sheetData>
    <row r="1" spans="1:9" ht="71.25" customHeight="1">
      <c r="A1" s="153" t="s">
        <v>0</v>
      </c>
      <c r="B1" s="154" t="s">
        <v>1</v>
      </c>
      <c r="C1" s="161" t="s">
        <v>2</v>
      </c>
      <c r="D1" s="154" t="s">
        <v>3</v>
      </c>
      <c r="E1" s="163"/>
      <c r="F1" s="164"/>
      <c r="G1" s="154" t="s">
        <v>4</v>
      </c>
      <c r="H1" s="154" t="s">
        <v>5</v>
      </c>
      <c r="I1" s="165" t="s">
        <v>6</v>
      </c>
    </row>
    <row r="2" spans="1:9">
      <c r="A2" s="153"/>
      <c r="B2" s="155"/>
      <c r="C2" s="162"/>
      <c r="D2" s="9" t="s">
        <v>7</v>
      </c>
      <c r="E2" s="7" t="s">
        <v>8</v>
      </c>
      <c r="F2" s="7" t="s">
        <v>9</v>
      </c>
      <c r="G2" s="155"/>
      <c r="H2" s="155"/>
      <c r="I2" s="166"/>
    </row>
    <row r="3" spans="1:9">
      <c r="A3" s="6"/>
      <c r="B3" s="10" t="s">
        <v>10</v>
      </c>
      <c r="C3" s="11"/>
      <c r="D3" s="11"/>
      <c r="E3" s="11"/>
      <c r="F3" s="11"/>
      <c r="G3" s="11"/>
      <c r="H3" s="11"/>
      <c r="I3" s="12"/>
    </row>
    <row r="4" spans="1:9" ht="71.25" customHeight="1">
      <c r="A4" s="13"/>
      <c r="B4" s="154" t="s">
        <v>11</v>
      </c>
      <c r="C4" s="163"/>
      <c r="D4" s="163"/>
      <c r="E4" s="163"/>
      <c r="F4" s="163"/>
      <c r="G4" s="163"/>
      <c r="H4" s="163"/>
      <c r="I4" s="164"/>
    </row>
    <row r="5" spans="1:9">
      <c r="A5" s="14">
        <v>14</v>
      </c>
      <c r="B5" s="15" t="s">
        <v>12</v>
      </c>
      <c r="C5" s="16" t="s">
        <v>13</v>
      </c>
      <c r="D5" s="17">
        <v>5.32</v>
      </c>
      <c r="E5" s="17">
        <v>5.58</v>
      </c>
      <c r="F5" s="17">
        <v>22.91</v>
      </c>
      <c r="G5" s="18">
        <v>162</v>
      </c>
      <c r="H5" s="18">
        <v>1.47</v>
      </c>
      <c r="I5" s="19">
        <v>14</v>
      </c>
    </row>
    <row r="6" spans="1:9">
      <c r="A6" s="14"/>
      <c r="B6" s="20" t="s">
        <v>14</v>
      </c>
      <c r="C6" s="21">
        <v>180</v>
      </c>
      <c r="D6" s="17">
        <v>0</v>
      </c>
      <c r="E6" s="17">
        <v>0</v>
      </c>
      <c r="F6" s="17">
        <v>6.05</v>
      </c>
      <c r="G6" s="17">
        <v>25</v>
      </c>
      <c r="H6" s="17">
        <v>0</v>
      </c>
      <c r="I6" s="22">
        <v>13</v>
      </c>
    </row>
    <row r="7" spans="1:9">
      <c r="A7" s="14"/>
      <c r="B7" s="23" t="s">
        <v>15</v>
      </c>
      <c r="C7" s="24" t="s">
        <v>16</v>
      </c>
      <c r="D7" s="17">
        <v>3.65</v>
      </c>
      <c r="E7" s="17">
        <v>6.38</v>
      </c>
      <c r="F7" s="17">
        <v>9.9</v>
      </c>
      <c r="G7" s="17">
        <v>112</v>
      </c>
      <c r="H7" s="17">
        <v>0.06</v>
      </c>
      <c r="I7" s="19">
        <v>3</v>
      </c>
    </row>
    <row r="8" spans="1:9">
      <c r="A8" s="14"/>
      <c r="B8" s="23" t="s">
        <v>17</v>
      </c>
      <c r="C8" s="25" t="s">
        <v>18</v>
      </c>
      <c r="D8" s="17">
        <f>D5+D6+D7</f>
        <v>8.9700000000000006</v>
      </c>
      <c r="E8" s="17">
        <f>E5+E6+E7</f>
        <v>11.96</v>
      </c>
      <c r="F8" s="17">
        <f>F5+F6+F7</f>
        <v>38.86</v>
      </c>
      <c r="G8" s="17">
        <f>G5+G6+G7</f>
        <v>299</v>
      </c>
      <c r="H8" s="17">
        <f>H5+H6+H7</f>
        <v>1.53</v>
      </c>
      <c r="I8" s="19"/>
    </row>
    <row r="9" spans="1:9" ht="59.25" customHeight="1">
      <c r="A9" s="10" t="s">
        <v>19</v>
      </c>
      <c r="B9" s="154" t="s">
        <v>19</v>
      </c>
      <c r="C9" s="163"/>
      <c r="D9" s="163"/>
      <c r="E9" s="163"/>
      <c r="F9" s="163"/>
      <c r="G9" s="163"/>
      <c r="H9" s="163"/>
      <c r="I9" s="164"/>
    </row>
    <row r="10" spans="1:9">
      <c r="A10" s="14" t="s">
        <v>20</v>
      </c>
      <c r="B10" s="23" t="s">
        <v>21</v>
      </c>
      <c r="C10" s="16" t="s">
        <v>22</v>
      </c>
      <c r="D10" s="17">
        <v>0.2</v>
      </c>
      <c r="E10" s="17">
        <v>0.1</v>
      </c>
      <c r="F10" s="17">
        <v>10.1</v>
      </c>
      <c r="G10" s="17">
        <v>46</v>
      </c>
      <c r="H10" s="17">
        <v>2</v>
      </c>
      <c r="I10" s="19" t="s">
        <v>20</v>
      </c>
    </row>
    <row r="11" spans="1:9">
      <c r="A11" s="14"/>
      <c r="B11" s="23" t="s">
        <v>17</v>
      </c>
      <c r="C11" s="21" t="str">
        <f>C10</f>
        <v>100</v>
      </c>
      <c r="D11" s="17">
        <f>SUM(D10)</f>
        <v>0.2</v>
      </c>
      <c r="E11" s="17">
        <f>SUM(E10)</f>
        <v>0.1</v>
      </c>
      <c r="F11" s="17">
        <f>SUM(F10)</f>
        <v>10.1</v>
      </c>
      <c r="G11" s="17">
        <f>SUM(G10)</f>
        <v>46</v>
      </c>
      <c r="H11" s="17">
        <f>SUM(H10)</f>
        <v>2</v>
      </c>
      <c r="I11" s="19"/>
    </row>
    <row r="12" spans="1:9" ht="83.25" customHeight="1">
      <c r="A12" s="10" t="s">
        <v>23</v>
      </c>
      <c r="B12" s="154" t="s">
        <v>24</v>
      </c>
      <c r="C12" s="163"/>
      <c r="D12" s="163"/>
      <c r="E12" s="163"/>
      <c r="F12" s="163"/>
      <c r="G12" s="163"/>
      <c r="H12" s="163"/>
      <c r="I12" s="164"/>
    </row>
    <row r="13" spans="1:9">
      <c r="A13" s="14">
        <v>56</v>
      </c>
      <c r="B13" s="23" t="s">
        <v>25</v>
      </c>
      <c r="C13" s="26" t="s">
        <v>26</v>
      </c>
      <c r="D13" s="17">
        <v>3.54</v>
      </c>
      <c r="E13" s="17">
        <v>4.34</v>
      </c>
      <c r="F13" s="17">
        <v>0.61</v>
      </c>
      <c r="G13" s="17">
        <v>77.34</v>
      </c>
      <c r="H13" s="17">
        <v>0.66</v>
      </c>
      <c r="I13" s="19">
        <v>33</v>
      </c>
    </row>
    <row r="14" spans="1:9" ht="140.4">
      <c r="A14" s="14">
        <v>47</v>
      </c>
      <c r="B14" s="23" t="s">
        <v>27</v>
      </c>
      <c r="C14" s="24" t="s">
        <v>28</v>
      </c>
      <c r="D14" s="17">
        <v>6.55</v>
      </c>
      <c r="E14" s="17">
        <v>2.65</v>
      </c>
      <c r="F14" s="17">
        <v>13.22</v>
      </c>
      <c r="G14" s="17">
        <v>100.31</v>
      </c>
      <c r="H14" s="17">
        <v>3.45</v>
      </c>
      <c r="I14" s="19">
        <v>47</v>
      </c>
    </row>
    <row r="15" spans="1:9">
      <c r="A15" s="14">
        <v>19</v>
      </c>
      <c r="B15" s="23" t="s">
        <v>29</v>
      </c>
      <c r="C15" s="24" t="s">
        <v>30</v>
      </c>
      <c r="D15" s="17">
        <v>14.23</v>
      </c>
      <c r="E15" s="17">
        <v>10.83</v>
      </c>
      <c r="F15" s="17">
        <v>14.63</v>
      </c>
      <c r="G15" s="17">
        <v>217</v>
      </c>
      <c r="H15" s="17">
        <v>8.32</v>
      </c>
      <c r="I15" s="19">
        <v>19</v>
      </c>
    </row>
    <row r="16" spans="1:9">
      <c r="A16" s="14">
        <v>54</v>
      </c>
      <c r="B16" s="23" t="s">
        <v>31</v>
      </c>
      <c r="C16" s="21">
        <v>150</v>
      </c>
      <c r="D16" s="17">
        <v>0.11</v>
      </c>
      <c r="E16" s="17">
        <v>7.0000000000000007E-2</v>
      </c>
      <c r="F16" s="17">
        <v>11.79</v>
      </c>
      <c r="G16" s="17">
        <v>50</v>
      </c>
      <c r="H16" s="17">
        <v>2.25</v>
      </c>
      <c r="I16" s="19">
        <v>20</v>
      </c>
    </row>
    <row r="17" spans="1:9">
      <c r="A17" s="14" t="s">
        <v>20</v>
      </c>
      <c r="B17" s="23" t="s">
        <v>32</v>
      </c>
      <c r="C17" s="21">
        <v>20</v>
      </c>
      <c r="D17" s="17">
        <v>1.52</v>
      </c>
      <c r="E17" s="17">
        <v>0.16</v>
      </c>
      <c r="F17" s="17">
        <v>9.84</v>
      </c>
      <c r="G17" s="17">
        <v>47</v>
      </c>
      <c r="H17" s="17">
        <v>0</v>
      </c>
      <c r="I17" s="19" t="s">
        <v>20</v>
      </c>
    </row>
    <row r="18" spans="1:9">
      <c r="A18" s="14" t="s">
        <v>20</v>
      </c>
      <c r="B18" s="23" t="s">
        <v>33</v>
      </c>
      <c r="C18" s="21">
        <v>40</v>
      </c>
      <c r="D18" s="17">
        <v>2.64</v>
      </c>
      <c r="E18" s="17">
        <v>0.48</v>
      </c>
      <c r="F18" s="17">
        <v>13.6</v>
      </c>
      <c r="G18" s="17">
        <v>72.400000000000006</v>
      </c>
      <c r="H18" s="17">
        <v>0</v>
      </c>
      <c r="I18" s="19" t="s">
        <v>20</v>
      </c>
    </row>
    <row r="19" spans="1:9">
      <c r="A19" s="27"/>
      <c r="B19" s="20" t="s">
        <v>34</v>
      </c>
      <c r="C19" s="21">
        <v>578</v>
      </c>
      <c r="D19" s="17">
        <f>D13+D14+D15+D16+D17+D18</f>
        <v>28.59</v>
      </c>
      <c r="E19" s="17">
        <f>E13+E14+E15+E16+E17+E18</f>
        <v>18.53</v>
      </c>
      <c r="F19" s="17">
        <f>F13+F14+F15+F16+F17+F18</f>
        <v>63.690000000000005</v>
      </c>
      <c r="G19" s="17">
        <f>G13+G14+G15+G16+G17+G18</f>
        <v>564.04999999999995</v>
      </c>
      <c r="H19" s="17">
        <f>H13+H14+H15+H16+H17+H18</f>
        <v>14.68</v>
      </c>
      <c r="I19" s="22"/>
    </row>
    <row r="20" spans="1:9" ht="71.25" customHeight="1">
      <c r="A20" s="27"/>
      <c r="B20" s="165" t="s">
        <v>35</v>
      </c>
      <c r="C20" s="167"/>
      <c r="D20" s="167"/>
      <c r="E20" s="167"/>
      <c r="F20" s="167"/>
      <c r="G20" s="167"/>
      <c r="H20" s="167"/>
      <c r="I20" s="168"/>
    </row>
    <row r="21" spans="1:9" ht="210.6">
      <c r="A21" s="27"/>
      <c r="B21" s="23" t="s">
        <v>36</v>
      </c>
      <c r="C21" s="24" t="s">
        <v>37</v>
      </c>
      <c r="D21" s="17">
        <v>0.6</v>
      </c>
      <c r="E21" s="17">
        <v>0.8</v>
      </c>
      <c r="F21" s="17">
        <v>4.3600000000000003</v>
      </c>
      <c r="G21" s="17">
        <v>50.9</v>
      </c>
      <c r="H21" s="17">
        <v>0</v>
      </c>
      <c r="I21" s="19" t="s">
        <v>20</v>
      </c>
    </row>
    <row r="22" spans="1:9" ht="140.4">
      <c r="A22" s="27"/>
      <c r="B22" s="23" t="s">
        <v>38</v>
      </c>
      <c r="C22" s="24" t="s">
        <v>39</v>
      </c>
      <c r="D22" s="17">
        <v>5.22</v>
      </c>
      <c r="E22" s="17">
        <v>4.5</v>
      </c>
      <c r="F22" s="17">
        <v>7.2</v>
      </c>
      <c r="G22" s="17">
        <v>95.4</v>
      </c>
      <c r="H22" s="17">
        <v>1.26</v>
      </c>
      <c r="I22" s="19" t="s">
        <v>40</v>
      </c>
    </row>
    <row r="23" spans="1:9">
      <c r="A23" s="27"/>
      <c r="B23" s="23" t="s">
        <v>34</v>
      </c>
      <c r="C23" s="28">
        <f t="shared" ref="C23:H23" si="0">C21+C22</f>
        <v>200</v>
      </c>
      <c r="D23" s="17">
        <f t="shared" si="0"/>
        <v>5.8199999999999994</v>
      </c>
      <c r="E23" s="17">
        <f t="shared" si="0"/>
        <v>5.3</v>
      </c>
      <c r="F23" s="17">
        <f t="shared" si="0"/>
        <v>11.56</v>
      </c>
      <c r="G23" s="17">
        <f t="shared" si="0"/>
        <v>146.30000000000001</v>
      </c>
      <c r="H23" s="17">
        <f t="shared" si="0"/>
        <v>1.26</v>
      </c>
      <c r="I23" s="17"/>
    </row>
    <row r="24" spans="1:9" ht="62.25" customHeight="1">
      <c r="A24" s="29" t="s">
        <v>35</v>
      </c>
      <c r="B24" s="165" t="s">
        <v>41</v>
      </c>
      <c r="C24" s="167"/>
      <c r="D24" s="167"/>
      <c r="E24" s="167"/>
      <c r="F24" s="167"/>
      <c r="G24" s="167"/>
      <c r="H24" s="167"/>
      <c r="I24" s="168"/>
    </row>
    <row r="25" spans="1:9">
      <c r="A25" s="14">
        <v>4</v>
      </c>
      <c r="B25" s="23" t="s">
        <v>42</v>
      </c>
      <c r="C25" s="26" t="s">
        <v>22</v>
      </c>
      <c r="D25" s="17">
        <v>8.1999999999999993</v>
      </c>
      <c r="E25" s="17">
        <v>12</v>
      </c>
      <c r="F25" s="17">
        <v>21.13</v>
      </c>
      <c r="G25" s="17">
        <v>192.5</v>
      </c>
      <c r="H25" s="17">
        <v>0.47</v>
      </c>
      <c r="I25" s="19">
        <v>4</v>
      </c>
    </row>
    <row r="26" spans="1:9">
      <c r="A26" s="14"/>
      <c r="B26" s="23" t="s">
        <v>43</v>
      </c>
      <c r="C26" s="21">
        <v>20</v>
      </c>
      <c r="D26" s="17">
        <v>1.52</v>
      </c>
      <c r="E26" s="17">
        <v>0.16</v>
      </c>
      <c r="F26" s="17">
        <v>9.84</v>
      </c>
      <c r="G26" s="17">
        <v>47</v>
      </c>
      <c r="H26" s="17">
        <v>0</v>
      </c>
      <c r="I26" s="19" t="s">
        <v>20</v>
      </c>
    </row>
    <row r="27" spans="1:9" ht="280.8">
      <c r="A27" s="14"/>
      <c r="B27" s="30" t="s">
        <v>44</v>
      </c>
      <c r="C27" s="24" t="s">
        <v>22</v>
      </c>
      <c r="D27" s="17">
        <v>1.5</v>
      </c>
      <c r="E27" s="17">
        <v>0.5</v>
      </c>
      <c r="F27" s="17">
        <v>21</v>
      </c>
      <c r="G27" s="17">
        <v>96</v>
      </c>
      <c r="H27" s="17">
        <v>10</v>
      </c>
      <c r="I27" s="19">
        <v>76</v>
      </c>
    </row>
    <row r="28" spans="1:9">
      <c r="A28" s="14">
        <v>2</v>
      </c>
      <c r="B28" s="23" t="s">
        <v>45</v>
      </c>
      <c r="C28" s="21">
        <v>180</v>
      </c>
      <c r="D28" s="17">
        <v>2.3199999999999998</v>
      </c>
      <c r="E28" s="17">
        <v>1.93</v>
      </c>
      <c r="F28" s="17">
        <v>9.4700000000000006</v>
      </c>
      <c r="G28" s="17">
        <v>65</v>
      </c>
      <c r="H28" s="17">
        <v>0.91</v>
      </c>
      <c r="I28" s="19">
        <v>15</v>
      </c>
    </row>
    <row r="29" spans="1:9">
      <c r="A29" s="14"/>
      <c r="B29" s="23" t="s">
        <v>34</v>
      </c>
      <c r="C29" s="21">
        <f t="shared" ref="C29:H29" si="1">C25+C26+C27+C28</f>
        <v>400</v>
      </c>
      <c r="D29" s="17">
        <f t="shared" si="1"/>
        <v>13.54</v>
      </c>
      <c r="E29" s="17">
        <f t="shared" si="1"/>
        <v>14.59</v>
      </c>
      <c r="F29" s="17">
        <f t="shared" si="1"/>
        <v>61.44</v>
      </c>
      <c r="G29" s="17">
        <f t="shared" si="1"/>
        <v>400.5</v>
      </c>
      <c r="H29" s="17">
        <f t="shared" si="1"/>
        <v>11.38</v>
      </c>
      <c r="I29" s="19"/>
    </row>
    <row r="30" spans="1:9">
      <c r="A30" s="14"/>
      <c r="B30" s="23"/>
      <c r="C30" s="24"/>
      <c r="D30" s="9" t="s">
        <v>7</v>
      </c>
      <c r="E30" s="7" t="s">
        <v>8</v>
      </c>
      <c r="F30" s="7" t="s">
        <v>9</v>
      </c>
      <c r="G30" s="31" t="s">
        <v>46</v>
      </c>
      <c r="H30" s="7" t="s">
        <v>47</v>
      </c>
      <c r="I30" s="19"/>
    </row>
    <row r="31" spans="1:9">
      <c r="A31" s="14"/>
      <c r="B31" s="32" t="s">
        <v>48</v>
      </c>
      <c r="C31" s="24"/>
      <c r="D31" s="17">
        <f>SUM(D8+D11+D19+D29+D23)</f>
        <v>57.12</v>
      </c>
      <c r="E31" s="17">
        <f>SUM(E8+E11+E19+E29+E23)</f>
        <v>50.480000000000004</v>
      </c>
      <c r="F31" s="17">
        <f>SUM(F8+F11+F19+F29+F23)</f>
        <v>185.65</v>
      </c>
      <c r="G31" s="17">
        <f>SUM(G8+G11+G19+G29+G23)</f>
        <v>1455.85</v>
      </c>
      <c r="H31" s="17">
        <f>SUM(H8+H11+H19+H29+H23)</f>
        <v>30.850000000000005</v>
      </c>
      <c r="I31" s="19"/>
    </row>
    <row r="32" spans="1:9">
      <c r="A32" s="14"/>
      <c r="B32" s="32" t="s">
        <v>49</v>
      </c>
      <c r="C32" s="24"/>
      <c r="D32" s="17">
        <v>42</v>
      </c>
      <c r="E32" s="17">
        <v>47</v>
      </c>
      <c r="F32" s="17">
        <v>203</v>
      </c>
      <c r="G32" s="17">
        <v>1400</v>
      </c>
      <c r="H32" s="17">
        <v>45</v>
      </c>
      <c r="I32" s="19"/>
    </row>
    <row r="33" spans="1:9" ht="139.19999999999999">
      <c r="A33" s="33"/>
      <c r="B33" s="34" t="s">
        <v>50</v>
      </c>
      <c r="C33" s="7"/>
      <c r="D33" s="18">
        <f>D31*100/D32</f>
        <v>136</v>
      </c>
      <c r="E33" s="18">
        <f>E31*100/E32</f>
        <v>107.40425531914893</v>
      </c>
      <c r="F33" s="18">
        <f>F31*100/F32</f>
        <v>91.453201970443345</v>
      </c>
      <c r="G33" s="18">
        <f>G31*100/G32</f>
        <v>103.98928571428571</v>
      </c>
      <c r="H33" s="18">
        <f>H31*100/H32</f>
        <v>68.555555555555571</v>
      </c>
      <c r="I33" s="8"/>
    </row>
    <row r="34" spans="1:9">
      <c r="A34" s="35"/>
      <c r="B34" s="36"/>
      <c r="C34" s="37"/>
      <c r="D34" s="38"/>
      <c r="E34" s="38"/>
      <c r="F34" s="38"/>
      <c r="G34" s="38"/>
      <c r="H34" s="38"/>
      <c r="I34" s="35"/>
    </row>
    <row r="35" spans="1:9">
      <c r="A35" s="35"/>
      <c r="B35" s="1" t="s">
        <v>51</v>
      </c>
      <c r="C35" s="1"/>
      <c r="E35" s="38"/>
      <c r="F35" s="38"/>
      <c r="G35" s="38"/>
      <c r="H35" s="38"/>
      <c r="I35" s="35"/>
    </row>
    <row r="36" spans="1:9">
      <c r="A36" s="35"/>
      <c r="B36" s="1" t="s">
        <v>52</v>
      </c>
      <c r="I36" s="35"/>
    </row>
    <row r="37" spans="1:9" ht="71.25" customHeight="1">
      <c r="A37" s="152" t="s">
        <v>0</v>
      </c>
      <c r="B37" s="154" t="s">
        <v>1</v>
      </c>
      <c r="C37" s="161" t="s">
        <v>2</v>
      </c>
      <c r="D37" s="154" t="s">
        <v>3</v>
      </c>
      <c r="E37" s="163"/>
      <c r="F37" s="164"/>
      <c r="G37" s="154" t="s">
        <v>4</v>
      </c>
      <c r="H37" s="154" t="s">
        <v>5</v>
      </c>
      <c r="I37" s="156" t="s">
        <v>6</v>
      </c>
    </row>
    <row r="38" spans="1:9">
      <c r="A38" s="153"/>
      <c r="B38" s="155"/>
      <c r="C38" s="162"/>
      <c r="D38" s="9" t="s">
        <v>7</v>
      </c>
      <c r="E38" s="7" t="s">
        <v>8</v>
      </c>
      <c r="F38" s="7" t="s">
        <v>9</v>
      </c>
      <c r="G38" s="155"/>
      <c r="H38" s="155"/>
      <c r="I38" s="157"/>
    </row>
    <row r="39" spans="1:9">
      <c r="A39" s="39"/>
      <c r="B39" s="40" t="s">
        <v>53</v>
      </c>
      <c r="C39" s="41"/>
      <c r="D39" s="41"/>
      <c r="E39" s="41"/>
      <c r="F39" s="41"/>
      <c r="G39" s="41"/>
      <c r="H39" s="41"/>
      <c r="I39" s="42"/>
    </row>
    <row r="40" spans="1:9" ht="71.25" customHeight="1">
      <c r="A40" s="39"/>
      <c r="B40" s="154" t="s">
        <v>54</v>
      </c>
      <c r="C40" s="163"/>
      <c r="D40" s="163"/>
      <c r="E40" s="163"/>
      <c r="F40" s="163"/>
      <c r="G40" s="163"/>
      <c r="H40" s="163"/>
      <c r="I40" s="164"/>
    </row>
    <row r="41" spans="1:9">
      <c r="A41" s="14">
        <v>1</v>
      </c>
      <c r="B41" s="20" t="s">
        <v>55</v>
      </c>
      <c r="C41" s="21">
        <v>160</v>
      </c>
      <c r="D41" s="43">
        <v>13.96</v>
      </c>
      <c r="E41" s="43">
        <v>14.46</v>
      </c>
      <c r="F41" s="43">
        <v>3.79</v>
      </c>
      <c r="G41" s="43">
        <v>199</v>
      </c>
      <c r="H41" s="43">
        <v>0.84</v>
      </c>
      <c r="I41" s="22">
        <v>37</v>
      </c>
    </row>
    <row r="42" spans="1:9" ht="140.4">
      <c r="A42" s="14"/>
      <c r="B42" s="23" t="s">
        <v>56</v>
      </c>
      <c r="C42" s="16" t="s">
        <v>57</v>
      </c>
      <c r="D42" s="17">
        <v>0.96</v>
      </c>
      <c r="E42" s="17">
        <v>3.76</v>
      </c>
      <c r="F42" s="17">
        <v>6.16</v>
      </c>
      <c r="G42" s="17">
        <v>62.4</v>
      </c>
      <c r="H42" s="17">
        <v>7.68</v>
      </c>
      <c r="I42" s="22">
        <v>26</v>
      </c>
    </row>
    <row r="43" spans="1:9">
      <c r="A43" s="14"/>
      <c r="B43" s="20" t="s">
        <v>58</v>
      </c>
      <c r="C43" s="21">
        <v>180</v>
      </c>
      <c r="D43" s="43">
        <v>0.04</v>
      </c>
      <c r="E43" s="43">
        <v>0</v>
      </c>
      <c r="F43" s="43">
        <v>6.17</v>
      </c>
      <c r="G43" s="43">
        <v>26</v>
      </c>
      <c r="H43" s="43">
        <v>1.6</v>
      </c>
      <c r="I43" s="44">
        <v>31</v>
      </c>
    </row>
    <row r="44" spans="1:9">
      <c r="A44" s="14"/>
      <c r="B44" s="23" t="s">
        <v>15</v>
      </c>
      <c r="C44" s="24" t="s">
        <v>16</v>
      </c>
      <c r="D44" s="17">
        <v>3.65</v>
      </c>
      <c r="E44" s="17">
        <v>6.38</v>
      </c>
      <c r="F44" s="17">
        <v>9.9</v>
      </c>
      <c r="G44" s="17">
        <v>112</v>
      </c>
      <c r="H44" s="17">
        <v>0.06</v>
      </c>
      <c r="I44" s="19">
        <v>3</v>
      </c>
    </row>
    <row r="45" spans="1:9">
      <c r="A45" s="14"/>
      <c r="B45" s="23" t="s">
        <v>17</v>
      </c>
      <c r="C45" s="21">
        <v>454</v>
      </c>
      <c r="D45" s="17">
        <f>D41+D42+D43+D44</f>
        <v>18.61</v>
      </c>
      <c r="E45" s="17">
        <f>E41+E42+E43+E44</f>
        <v>24.599999999999998</v>
      </c>
      <c r="F45" s="17">
        <f>F41+F42+F43+F44</f>
        <v>26.019999999999996</v>
      </c>
      <c r="G45" s="17">
        <f>G41+G42+G43+G44</f>
        <v>399.4</v>
      </c>
      <c r="H45" s="17">
        <f>H41+H42+H43+H44</f>
        <v>10.18</v>
      </c>
      <c r="I45" s="19"/>
    </row>
    <row r="46" spans="1:9" ht="71.25" customHeight="1">
      <c r="A46" s="39"/>
      <c r="B46" s="154" t="s">
        <v>19</v>
      </c>
      <c r="C46" s="163"/>
      <c r="D46" s="163"/>
      <c r="E46" s="163"/>
      <c r="F46" s="163"/>
      <c r="G46" s="163"/>
      <c r="H46" s="163"/>
      <c r="I46" s="164"/>
    </row>
    <row r="47" spans="1:9">
      <c r="A47" s="14" t="s">
        <v>20</v>
      </c>
      <c r="B47" s="23" t="s">
        <v>21</v>
      </c>
      <c r="C47" s="16" t="s">
        <v>22</v>
      </c>
      <c r="D47" s="17">
        <v>0.2</v>
      </c>
      <c r="E47" s="17">
        <v>0.1</v>
      </c>
      <c r="F47" s="17">
        <v>10.1</v>
      </c>
      <c r="G47" s="17">
        <v>46</v>
      </c>
      <c r="H47" s="17">
        <v>2</v>
      </c>
      <c r="I47" s="19" t="s">
        <v>20</v>
      </c>
    </row>
    <row r="48" spans="1:9">
      <c r="A48" s="14"/>
      <c r="B48" s="23" t="s">
        <v>17</v>
      </c>
      <c r="C48" s="21" t="str">
        <f t="shared" ref="C48:H48" si="2">C47</f>
        <v>100</v>
      </c>
      <c r="D48" s="17">
        <f t="shared" si="2"/>
        <v>0.2</v>
      </c>
      <c r="E48" s="17">
        <f t="shared" si="2"/>
        <v>0.1</v>
      </c>
      <c r="F48" s="17">
        <f t="shared" si="2"/>
        <v>10.1</v>
      </c>
      <c r="G48" s="17">
        <f t="shared" si="2"/>
        <v>46</v>
      </c>
      <c r="H48" s="17">
        <f t="shared" si="2"/>
        <v>2</v>
      </c>
      <c r="I48" s="19"/>
    </row>
    <row r="49" spans="1:9" ht="71.25" customHeight="1">
      <c r="A49" s="33"/>
      <c r="B49" s="154" t="s">
        <v>24</v>
      </c>
      <c r="C49" s="163"/>
      <c r="D49" s="163"/>
      <c r="E49" s="163"/>
      <c r="F49" s="163"/>
      <c r="G49" s="163"/>
      <c r="H49" s="163"/>
      <c r="I49" s="164"/>
    </row>
    <row r="50" spans="1:9">
      <c r="A50" s="27">
        <v>17</v>
      </c>
      <c r="B50" s="45" t="s">
        <v>59</v>
      </c>
      <c r="C50" s="16" t="s">
        <v>26</v>
      </c>
      <c r="D50" s="17">
        <v>0.69</v>
      </c>
      <c r="E50" s="17">
        <v>3.46</v>
      </c>
      <c r="F50" s="17">
        <v>3.76</v>
      </c>
      <c r="G50" s="17">
        <v>49.14</v>
      </c>
      <c r="H50" s="17">
        <v>3.38</v>
      </c>
      <c r="I50" s="22">
        <v>18</v>
      </c>
    </row>
    <row r="51" spans="1:9" ht="210.6">
      <c r="A51" s="14">
        <v>34</v>
      </c>
      <c r="B51" s="23" t="s">
        <v>60</v>
      </c>
      <c r="C51" s="16" t="s">
        <v>61</v>
      </c>
      <c r="D51" s="17">
        <v>5.08</v>
      </c>
      <c r="E51" s="17">
        <v>4.58</v>
      </c>
      <c r="F51" s="17">
        <v>3.07</v>
      </c>
      <c r="G51" s="17">
        <v>77</v>
      </c>
      <c r="H51" s="17">
        <v>14.87</v>
      </c>
      <c r="I51" s="19">
        <v>34</v>
      </c>
    </row>
    <row r="52" spans="1:9">
      <c r="A52" s="14"/>
      <c r="B52" s="23" t="s">
        <v>62</v>
      </c>
      <c r="C52" s="46" t="s">
        <v>63</v>
      </c>
      <c r="D52" s="17">
        <v>5.12</v>
      </c>
      <c r="E52" s="17">
        <v>7.67</v>
      </c>
      <c r="F52" s="17">
        <v>2.06</v>
      </c>
      <c r="G52" s="17">
        <v>98.25</v>
      </c>
      <c r="H52" s="17">
        <v>0.27</v>
      </c>
      <c r="I52" s="19">
        <v>35</v>
      </c>
    </row>
    <row r="53" spans="1:9">
      <c r="A53" s="14"/>
      <c r="B53" s="23" t="s">
        <v>64</v>
      </c>
      <c r="C53" s="21">
        <v>110</v>
      </c>
      <c r="D53" s="17">
        <v>6.26</v>
      </c>
      <c r="E53" s="17">
        <v>4.8499999999999996</v>
      </c>
      <c r="F53" s="17">
        <v>28.33</v>
      </c>
      <c r="G53" s="17">
        <v>181.35</v>
      </c>
      <c r="H53" s="17">
        <v>0</v>
      </c>
      <c r="I53" s="22">
        <v>65</v>
      </c>
    </row>
    <row r="54" spans="1:9">
      <c r="A54" s="14">
        <v>9</v>
      </c>
      <c r="B54" s="23" t="s">
        <v>65</v>
      </c>
      <c r="C54" s="21">
        <v>170</v>
      </c>
      <c r="D54" s="17">
        <v>0.46</v>
      </c>
      <c r="E54" s="17">
        <v>0</v>
      </c>
      <c r="F54" s="17">
        <v>15.36</v>
      </c>
      <c r="G54" s="17">
        <v>66</v>
      </c>
      <c r="H54" s="17">
        <v>0.42</v>
      </c>
      <c r="I54" s="19">
        <v>9</v>
      </c>
    </row>
    <row r="55" spans="1:9">
      <c r="A55" s="14" t="s">
        <v>20</v>
      </c>
      <c r="B55" s="23" t="s">
        <v>32</v>
      </c>
      <c r="C55" s="21">
        <v>20</v>
      </c>
      <c r="D55" s="17">
        <v>1.52</v>
      </c>
      <c r="E55" s="17">
        <v>0.16</v>
      </c>
      <c r="F55" s="17">
        <v>9.84</v>
      </c>
      <c r="G55" s="17">
        <v>47</v>
      </c>
      <c r="H55" s="17">
        <v>0</v>
      </c>
      <c r="I55" s="19" t="s">
        <v>20</v>
      </c>
    </row>
    <row r="56" spans="1:9">
      <c r="A56" s="14" t="s">
        <v>20</v>
      </c>
      <c r="B56" s="23" t="s">
        <v>33</v>
      </c>
      <c r="C56" s="21">
        <v>40</v>
      </c>
      <c r="D56" s="17">
        <v>2.64</v>
      </c>
      <c r="E56" s="17">
        <v>0.48</v>
      </c>
      <c r="F56" s="17">
        <v>13.6</v>
      </c>
      <c r="G56" s="17">
        <v>72.400000000000006</v>
      </c>
      <c r="H56" s="17">
        <v>0</v>
      </c>
      <c r="I56" s="19" t="s">
        <v>20</v>
      </c>
    </row>
    <row r="57" spans="1:9">
      <c r="A57" s="33"/>
      <c r="B57" s="23" t="s">
        <v>17</v>
      </c>
      <c r="C57" s="24" t="s">
        <v>66</v>
      </c>
      <c r="D57" s="17">
        <f>SUM(D50:D56)</f>
        <v>21.77</v>
      </c>
      <c r="E57" s="17">
        <f>SUM(E50:E56)</f>
        <v>21.2</v>
      </c>
      <c r="F57" s="17">
        <f>SUM(F50:F56)</f>
        <v>76.02</v>
      </c>
      <c r="G57" s="17">
        <f>SUM(G50:G56)</f>
        <v>591.14</v>
      </c>
      <c r="H57" s="17">
        <f>SUM(H50:H56)</f>
        <v>18.940000000000001</v>
      </c>
      <c r="I57" s="8"/>
    </row>
    <row r="58" spans="1:9" ht="71.25" customHeight="1">
      <c r="A58" s="33"/>
      <c r="B58" s="165" t="s">
        <v>35</v>
      </c>
      <c r="C58" s="167"/>
      <c r="D58" s="167"/>
      <c r="E58" s="167"/>
      <c r="F58" s="167"/>
      <c r="G58" s="167"/>
      <c r="H58" s="167"/>
      <c r="I58" s="168"/>
    </row>
    <row r="59" spans="1:9" ht="210.6">
      <c r="A59" s="33"/>
      <c r="B59" s="23" t="s">
        <v>36</v>
      </c>
      <c r="C59" s="24" t="s">
        <v>67</v>
      </c>
      <c r="D59" s="17">
        <v>0.9</v>
      </c>
      <c r="E59" s="17">
        <v>1.2</v>
      </c>
      <c r="F59" s="17">
        <v>6.54</v>
      </c>
      <c r="G59" s="17">
        <v>76.349999999999994</v>
      </c>
      <c r="H59" s="17">
        <v>0</v>
      </c>
      <c r="I59" s="19" t="s">
        <v>20</v>
      </c>
    </row>
    <row r="60" spans="1:9" ht="140.4">
      <c r="A60" s="33"/>
      <c r="B60" s="23" t="s">
        <v>38</v>
      </c>
      <c r="C60" s="24" t="s">
        <v>39</v>
      </c>
      <c r="D60" s="17">
        <v>5.22</v>
      </c>
      <c r="E60" s="17">
        <v>4.5</v>
      </c>
      <c r="F60" s="17">
        <v>7.2</v>
      </c>
      <c r="G60" s="17">
        <v>95.4</v>
      </c>
      <c r="H60" s="17">
        <v>1.26</v>
      </c>
      <c r="I60" s="19" t="s">
        <v>40</v>
      </c>
    </row>
    <row r="61" spans="1:9">
      <c r="A61" s="33"/>
      <c r="B61" s="23" t="s">
        <v>34</v>
      </c>
      <c r="C61" s="28">
        <f t="shared" ref="C61:H61" si="3">C59+C60</f>
        <v>210</v>
      </c>
      <c r="D61" s="17">
        <f t="shared" si="3"/>
        <v>6.12</v>
      </c>
      <c r="E61" s="17">
        <f t="shared" si="3"/>
        <v>5.7</v>
      </c>
      <c r="F61" s="17">
        <f t="shared" si="3"/>
        <v>13.74</v>
      </c>
      <c r="G61" s="17">
        <f t="shared" si="3"/>
        <v>171.75</v>
      </c>
      <c r="H61" s="17">
        <f t="shared" si="3"/>
        <v>1.26</v>
      </c>
      <c r="I61" s="17"/>
    </row>
    <row r="62" spans="1:9" ht="71.25" customHeight="1">
      <c r="A62" s="33"/>
      <c r="B62" s="165" t="s">
        <v>41</v>
      </c>
      <c r="C62" s="167"/>
      <c r="D62" s="167"/>
      <c r="E62" s="167"/>
      <c r="F62" s="167"/>
      <c r="G62" s="167"/>
      <c r="H62" s="167"/>
      <c r="I62" s="168"/>
    </row>
    <row r="63" spans="1:9" ht="140.4">
      <c r="A63" s="33"/>
      <c r="B63" s="23" t="s">
        <v>68</v>
      </c>
      <c r="C63" s="24" t="s">
        <v>69</v>
      </c>
      <c r="D63" s="17">
        <v>5.86</v>
      </c>
      <c r="E63" s="17">
        <v>3.26</v>
      </c>
      <c r="F63" s="17">
        <v>21.25</v>
      </c>
      <c r="G63" s="17">
        <v>85.5</v>
      </c>
      <c r="H63" s="17">
        <v>0.31</v>
      </c>
      <c r="I63" s="22" t="s">
        <v>70</v>
      </c>
    </row>
    <row r="64" spans="1:9" ht="140.4">
      <c r="A64" s="33"/>
      <c r="B64" s="45" t="s">
        <v>71</v>
      </c>
      <c r="C64" s="16" t="s">
        <v>26</v>
      </c>
      <c r="D64" s="17">
        <v>0.32</v>
      </c>
      <c r="E64" s="17">
        <v>0.04</v>
      </c>
      <c r="F64" s="17">
        <v>1</v>
      </c>
      <c r="G64" s="17">
        <v>5.6</v>
      </c>
      <c r="H64" s="17">
        <v>4</v>
      </c>
      <c r="I64" s="22">
        <v>89</v>
      </c>
    </row>
    <row r="65" spans="1:9">
      <c r="A65" s="6"/>
      <c r="B65" s="23" t="s">
        <v>72</v>
      </c>
      <c r="C65" s="21">
        <v>120</v>
      </c>
      <c r="D65" s="17">
        <v>2.2799999999999998</v>
      </c>
      <c r="E65" s="17">
        <v>4.92</v>
      </c>
      <c r="F65" s="17">
        <v>15.24</v>
      </c>
      <c r="G65" s="17">
        <v>114</v>
      </c>
      <c r="H65" s="17">
        <v>16.68</v>
      </c>
      <c r="I65" s="19">
        <v>75</v>
      </c>
    </row>
    <row r="66" spans="1:9" ht="280.8">
      <c r="A66" s="6"/>
      <c r="B66" s="30" t="s">
        <v>44</v>
      </c>
      <c r="C66" s="24" t="s">
        <v>57</v>
      </c>
      <c r="D66" s="17">
        <v>1.2</v>
      </c>
      <c r="E66" s="17">
        <v>0.4</v>
      </c>
      <c r="F66" s="17">
        <v>16.8</v>
      </c>
      <c r="G66" s="17">
        <v>76.8</v>
      </c>
      <c r="H66" s="17">
        <v>8</v>
      </c>
      <c r="I66" s="19">
        <v>76</v>
      </c>
    </row>
    <row r="67" spans="1:9">
      <c r="A67" s="14" t="s">
        <v>20</v>
      </c>
      <c r="B67" s="23" t="s">
        <v>32</v>
      </c>
      <c r="C67" s="21">
        <v>20</v>
      </c>
      <c r="D67" s="17">
        <v>1.52</v>
      </c>
      <c r="E67" s="17">
        <v>0.16</v>
      </c>
      <c r="F67" s="17">
        <v>9.84</v>
      </c>
      <c r="G67" s="17">
        <v>47</v>
      </c>
      <c r="H67" s="17">
        <v>0</v>
      </c>
      <c r="I67" s="19" t="s">
        <v>20</v>
      </c>
    </row>
    <row r="68" spans="1:9">
      <c r="A68" s="47">
        <v>59</v>
      </c>
      <c r="B68" s="23" t="s">
        <v>73</v>
      </c>
      <c r="C68" s="21">
        <v>180</v>
      </c>
      <c r="D68" s="43">
        <v>2.35</v>
      </c>
      <c r="E68" s="43">
        <v>1.91</v>
      </c>
      <c r="F68" s="43">
        <v>9.51</v>
      </c>
      <c r="G68" s="43">
        <v>64</v>
      </c>
      <c r="H68" s="43">
        <v>0.91</v>
      </c>
      <c r="I68" s="19">
        <v>2</v>
      </c>
    </row>
    <row r="69" spans="1:9" ht="93.75" customHeight="1">
      <c r="A69" s="33"/>
      <c r="B69" s="23" t="s">
        <v>17</v>
      </c>
      <c r="C69" s="21">
        <f t="shared" ref="C69:H69" si="4">C63+C64+C65+C66+C67+C68</f>
        <v>500</v>
      </c>
      <c r="D69" s="17">
        <f t="shared" si="4"/>
        <v>13.53</v>
      </c>
      <c r="E69" s="17">
        <f t="shared" si="4"/>
        <v>10.69</v>
      </c>
      <c r="F69" s="17">
        <f t="shared" si="4"/>
        <v>73.640000000000015</v>
      </c>
      <c r="G69" s="17">
        <f t="shared" si="4"/>
        <v>392.9</v>
      </c>
      <c r="H69" s="17">
        <f t="shared" si="4"/>
        <v>29.9</v>
      </c>
      <c r="I69" s="8"/>
    </row>
    <row r="70" spans="1:9">
      <c r="A70" s="14"/>
      <c r="B70" s="23"/>
      <c r="C70" s="24"/>
      <c r="D70" s="9" t="s">
        <v>7</v>
      </c>
      <c r="E70" s="7" t="s">
        <v>8</v>
      </c>
      <c r="F70" s="7" t="s">
        <v>9</v>
      </c>
      <c r="G70" s="31" t="s">
        <v>46</v>
      </c>
      <c r="H70" s="7" t="s">
        <v>47</v>
      </c>
      <c r="I70" s="19"/>
    </row>
    <row r="71" spans="1:9">
      <c r="A71" s="14"/>
      <c r="B71" s="32" t="s">
        <v>74</v>
      </c>
      <c r="C71" s="24"/>
      <c r="D71" s="17">
        <f>SUM(D45+D48+D57+D69+D61)</f>
        <v>60.23</v>
      </c>
      <c r="E71" s="17">
        <f>SUM(E45+E48+E57+E69+E61)</f>
        <v>62.29</v>
      </c>
      <c r="F71" s="17">
        <f>SUM(F45+F48+F57+F69+F61)</f>
        <v>199.52</v>
      </c>
      <c r="G71" s="17">
        <f>SUM(G45+G48+G57+G69+G61)</f>
        <v>1601.19</v>
      </c>
      <c r="H71" s="17">
        <f>SUM(H45+H48+H57+H69+H61)</f>
        <v>62.279999999999994</v>
      </c>
      <c r="I71" s="19"/>
    </row>
    <row r="72" spans="1:9">
      <c r="A72" s="14"/>
      <c r="B72" s="32" t="s">
        <v>49</v>
      </c>
      <c r="C72" s="24"/>
      <c r="D72" s="17">
        <v>42</v>
      </c>
      <c r="E72" s="17">
        <v>47</v>
      </c>
      <c r="F72" s="17">
        <v>203</v>
      </c>
      <c r="G72" s="17">
        <v>1400</v>
      </c>
      <c r="H72" s="17">
        <v>45</v>
      </c>
      <c r="I72" s="19"/>
    </row>
    <row r="73" spans="1:9" s="48" customFormat="1" ht="139.19999999999999">
      <c r="A73" s="33"/>
      <c r="B73" s="34" t="s">
        <v>50</v>
      </c>
      <c r="C73" s="7"/>
      <c r="D73" s="18">
        <f>D71*100/D72</f>
        <v>143.4047619047619</v>
      </c>
      <c r="E73" s="18">
        <f>E71*100/E72</f>
        <v>132.53191489361703</v>
      </c>
      <c r="F73" s="18">
        <f>F71*100/F72</f>
        <v>98.285714285714292</v>
      </c>
      <c r="G73" s="18">
        <f>G71*100/G72</f>
        <v>114.37071428571429</v>
      </c>
      <c r="H73" s="18">
        <f>H71*100/H72</f>
        <v>138.39999999999998</v>
      </c>
      <c r="I73" s="8"/>
    </row>
    <row r="74" spans="1:9" s="48" customFormat="1">
      <c r="A74" s="35"/>
      <c r="B74" s="36"/>
      <c r="C74" s="37"/>
      <c r="D74" s="38"/>
      <c r="E74" s="38"/>
      <c r="F74" s="38"/>
      <c r="G74" s="38"/>
      <c r="H74" s="38"/>
      <c r="I74" s="35"/>
    </row>
    <row r="75" spans="1:9" s="48" customFormat="1">
      <c r="A75" s="35"/>
      <c r="B75" s="1" t="s">
        <v>51</v>
      </c>
      <c r="C75" s="1"/>
      <c r="D75" s="1"/>
      <c r="E75" s="38"/>
      <c r="F75" s="38"/>
      <c r="G75" s="38"/>
      <c r="H75" s="38"/>
      <c r="I75" s="35"/>
    </row>
    <row r="76" spans="1:9" s="48" customFormat="1">
      <c r="A76" s="35"/>
      <c r="B76" s="1" t="s">
        <v>52</v>
      </c>
      <c r="C76" s="4"/>
      <c r="D76" s="1"/>
      <c r="E76" s="1"/>
      <c r="F76" s="1"/>
      <c r="G76" s="1"/>
      <c r="H76" s="1"/>
      <c r="I76" s="35"/>
    </row>
    <row r="77" spans="1:9" ht="71.25" customHeight="1">
      <c r="A77" s="152" t="s">
        <v>0</v>
      </c>
      <c r="B77" s="154" t="s">
        <v>1</v>
      </c>
      <c r="C77" s="161" t="s">
        <v>2</v>
      </c>
      <c r="D77" s="154" t="s">
        <v>3</v>
      </c>
      <c r="E77" s="163"/>
      <c r="F77" s="164"/>
      <c r="G77" s="154" t="s">
        <v>4</v>
      </c>
      <c r="H77" s="154" t="s">
        <v>5</v>
      </c>
      <c r="I77" s="156" t="s">
        <v>6</v>
      </c>
    </row>
    <row r="78" spans="1:9">
      <c r="A78" s="153"/>
      <c r="B78" s="155"/>
      <c r="C78" s="162"/>
      <c r="D78" s="9" t="s">
        <v>7</v>
      </c>
      <c r="E78" s="7" t="s">
        <v>8</v>
      </c>
      <c r="F78" s="7" t="s">
        <v>9</v>
      </c>
      <c r="G78" s="155"/>
      <c r="H78" s="155"/>
      <c r="I78" s="157"/>
    </row>
    <row r="79" spans="1:9">
      <c r="A79" s="49"/>
      <c r="B79" s="40" t="s">
        <v>75</v>
      </c>
      <c r="C79" s="41"/>
      <c r="D79" s="41"/>
      <c r="E79" s="41"/>
      <c r="F79" s="41"/>
      <c r="G79" s="41"/>
      <c r="H79" s="41"/>
      <c r="I79" s="42"/>
    </row>
    <row r="80" spans="1:9" ht="71.25" customHeight="1">
      <c r="A80" s="49"/>
      <c r="B80" s="154" t="s">
        <v>11</v>
      </c>
      <c r="C80" s="163"/>
      <c r="D80" s="163"/>
      <c r="E80" s="163"/>
      <c r="F80" s="163"/>
      <c r="G80" s="163"/>
      <c r="H80" s="163"/>
      <c r="I80" s="164"/>
    </row>
    <row r="81" spans="1:9" ht="140.4">
      <c r="A81" s="27">
        <v>23</v>
      </c>
      <c r="B81" s="23" t="s">
        <v>76</v>
      </c>
      <c r="C81" s="21">
        <v>150</v>
      </c>
      <c r="D81" s="17">
        <v>4.7</v>
      </c>
      <c r="E81" s="17">
        <v>4.8600000000000003</v>
      </c>
      <c r="F81" s="17">
        <v>13.78</v>
      </c>
      <c r="G81" s="17">
        <v>118.5</v>
      </c>
      <c r="H81" s="17">
        <v>0.3</v>
      </c>
      <c r="I81" s="19">
        <v>39</v>
      </c>
    </row>
    <row r="82" spans="1:9">
      <c r="A82" s="14">
        <v>2</v>
      </c>
      <c r="B82" s="23" t="s">
        <v>45</v>
      </c>
      <c r="C82" s="21">
        <v>180</v>
      </c>
      <c r="D82" s="17">
        <v>2.3199999999999998</v>
      </c>
      <c r="E82" s="17">
        <v>1.93</v>
      </c>
      <c r="F82" s="17">
        <v>9.4700000000000006</v>
      </c>
      <c r="G82" s="17">
        <v>65</v>
      </c>
      <c r="H82" s="17">
        <v>0.91</v>
      </c>
      <c r="I82" s="19">
        <v>15</v>
      </c>
    </row>
    <row r="83" spans="1:9">
      <c r="A83" s="14">
        <v>3</v>
      </c>
      <c r="B83" s="23" t="s">
        <v>15</v>
      </c>
      <c r="C83" s="24" t="s">
        <v>16</v>
      </c>
      <c r="D83" s="17">
        <v>3.65</v>
      </c>
      <c r="E83" s="17">
        <v>6.38</v>
      </c>
      <c r="F83" s="17">
        <v>9.9</v>
      </c>
      <c r="G83" s="17">
        <v>112</v>
      </c>
      <c r="H83" s="17">
        <v>0.06</v>
      </c>
      <c r="I83" s="19">
        <v>3</v>
      </c>
    </row>
    <row r="84" spans="1:9">
      <c r="A84" s="14"/>
      <c r="B84" s="23" t="s">
        <v>17</v>
      </c>
      <c r="C84" s="24" t="s">
        <v>18</v>
      </c>
      <c r="D84" s="17">
        <f>SUM(D81:D83)</f>
        <v>10.67</v>
      </c>
      <c r="E84" s="17">
        <f>SUM(E81:E83)</f>
        <v>13.17</v>
      </c>
      <c r="F84" s="17">
        <f>SUM(F81:F83)</f>
        <v>33.15</v>
      </c>
      <c r="G84" s="17">
        <f>SUM(G81:G83)</f>
        <v>295.5</v>
      </c>
      <c r="H84" s="17">
        <f>SUM(H81:H83)</f>
        <v>1.27</v>
      </c>
      <c r="I84" s="19"/>
    </row>
    <row r="85" spans="1:9" ht="71.25" customHeight="1">
      <c r="A85" s="39"/>
      <c r="B85" s="154" t="s">
        <v>19</v>
      </c>
      <c r="C85" s="163"/>
      <c r="D85" s="163"/>
      <c r="E85" s="163"/>
      <c r="F85" s="163"/>
      <c r="G85" s="163"/>
      <c r="H85" s="163"/>
      <c r="I85" s="164"/>
    </row>
    <row r="86" spans="1:9">
      <c r="A86" s="14" t="s">
        <v>20</v>
      </c>
      <c r="B86" s="23" t="s">
        <v>21</v>
      </c>
      <c r="C86" s="16" t="s">
        <v>22</v>
      </c>
      <c r="D86" s="17">
        <v>0.2</v>
      </c>
      <c r="E86" s="17">
        <v>0.1</v>
      </c>
      <c r="F86" s="17">
        <v>10.1</v>
      </c>
      <c r="G86" s="17">
        <v>46</v>
      </c>
      <c r="H86" s="17">
        <v>2</v>
      </c>
      <c r="I86" s="19" t="s">
        <v>20</v>
      </c>
    </row>
    <row r="87" spans="1:9">
      <c r="A87" s="14"/>
      <c r="B87" s="23" t="s">
        <v>17</v>
      </c>
      <c r="C87" s="21" t="str">
        <f t="shared" ref="C87:H87" si="5">C86</f>
        <v>100</v>
      </c>
      <c r="D87" s="17">
        <f t="shared" si="5"/>
        <v>0.2</v>
      </c>
      <c r="E87" s="17">
        <f t="shared" si="5"/>
        <v>0.1</v>
      </c>
      <c r="F87" s="17">
        <f t="shared" si="5"/>
        <v>10.1</v>
      </c>
      <c r="G87" s="17">
        <f t="shared" si="5"/>
        <v>46</v>
      </c>
      <c r="H87" s="17">
        <f t="shared" si="5"/>
        <v>2</v>
      </c>
      <c r="I87" s="19"/>
    </row>
    <row r="88" spans="1:9" ht="71.25" customHeight="1">
      <c r="A88" s="6"/>
      <c r="B88" s="154" t="s">
        <v>24</v>
      </c>
      <c r="C88" s="163"/>
      <c r="D88" s="163"/>
      <c r="E88" s="163"/>
      <c r="F88" s="163"/>
      <c r="G88" s="163"/>
      <c r="H88" s="163"/>
      <c r="I88" s="164"/>
    </row>
    <row r="89" spans="1:9" ht="140.4">
      <c r="A89" s="14">
        <v>24</v>
      </c>
      <c r="B89" s="23" t="s">
        <v>77</v>
      </c>
      <c r="C89" s="16" t="s">
        <v>26</v>
      </c>
      <c r="D89" s="17">
        <v>0.8</v>
      </c>
      <c r="E89" s="17">
        <v>3.05</v>
      </c>
      <c r="F89" s="17">
        <v>2.5499999999999998</v>
      </c>
      <c r="G89" s="17">
        <v>41</v>
      </c>
      <c r="H89" s="17">
        <v>2.75</v>
      </c>
      <c r="I89" s="22">
        <v>66</v>
      </c>
    </row>
    <row r="90" spans="1:9" ht="140.4">
      <c r="A90" s="14">
        <v>25</v>
      </c>
      <c r="B90" s="23" t="s">
        <v>78</v>
      </c>
      <c r="C90" s="24" t="s">
        <v>13</v>
      </c>
      <c r="D90" s="17">
        <v>3.9</v>
      </c>
      <c r="E90" s="17">
        <v>3.18</v>
      </c>
      <c r="F90" s="17">
        <v>8.7200000000000006</v>
      </c>
      <c r="G90" s="17">
        <v>100.35</v>
      </c>
      <c r="H90" s="17">
        <v>6.32</v>
      </c>
      <c r="I90" s="19">
        <v>41</v>
      </c>
    </row>
    <row r="91" spans="1:9">
      <c r="A91" s="14">
        <v>6</v>
      </c>
      <c r="B91" s="23" t="s">
        <v>79</v>
      </c>
      <c r="C91" s="24" t="s">
        <v>13</v>
      </c>
      <c r="D91" s="17">
        <v>14.84</v>
      </c>
      <c r="E91" s="17">
        <v>13.34</v>
      </c>
      <c r="F91" s="17">
        <v>22.99</v>
      </c>
      <c r="G91" s="17">
        <v>267</v>
      </c>
      <c r="H91" s="17">
        <v>0.9</v>
      </c>
      <c r="I91" s="22">
        <v>42</v>
      </c>
    </row>
    <row r="92" spans="1:9">
      <c r="A92" s="14">
        <v>20</v>
      </c>
      <c r="B92" s="20" t="s">
        <v>80</v>
      </c>
      <c r="C92" s="16" t="s">
        <v>30</v>
      </c>
      <c r="D92" s="17">
        <v>0.57999999999999996</v>
      </c>
      <c r="E92" s="17">
        <v>0.24</v>
      </c>
      <c r="F92" s="17">
        <v>14.2</v>
      </c>
      <c r="G92" s="17">
        <v>72</v>
      </c>
      <c r="H92" s="17">
        <v>170</v>
      </c>
      <c r="I92" s="19">
        <v>36</v>
      </c>
    </row>
    <row r="93" spans="1:9">
      <c r="A93" s="14" t="s">
        <v>20</v>
      </c>
      <c r="B93" s="23" t="s">
        <v>32</v>
      </c>
      <c r="C93" s="21">
        <v>20</v>
      </c>
      <c r="D93" s="17">
        <v>1.52</v>
      </c>
      <c r="E93" s="17">
        <v>0.16</v>
      </c>
      <c r="F93" s="17">
        <v>9.84</v>
      </c>
      <c r="G93" s="17">
        <v>47</v>
      </c>
      <c r="H93" s="17">
        <v>0</v>
      </c>
      <c r="I93" s="19" t="s">
        <v>20</v>
      </c>
    </row>
    <row r="94" spans="1:9">
      <c r="A94" s="14" t="s">
        <v>20</v>
      </c>
      <c r="B94" s="23" t="s">
        <v>33</v>
      </c>
      <c r="C94" s="21">
        <v>40</v>
      </c>
      <c r="D94" s="17">
        <v>2.64</v>
      </c>
      <c r="E94" s="17">
        <v>0.48</v>
      </c>
      <c r="F94" s="17">
        <v>13.6</v>
      </c>
      <c r="G94" s="17">
        <v>72.400000000000006</v>
      </c>
      <c r="H94" s="17">
        <v>0</v>
      </c>
      <c r="I94" s="19" t="s">
        <v>20</v>
      </c>
    </row>
    <row r="95" spans="1:9">
      <c r="A95" s="14"/>
      <c r="B95" s="23" t="s">
        <v>17</v>
      </c>
      <c r="C95" s="21">
        <f t="shared" ref="C95:H95" si="6">C89+C90+C91+C92+C93+C94</f>
        <v>570</v>
      </c>
      <c r="D95" s="17">
        <f t="shared" si="6"/>
        <v>24.279999999999998</v>
      </c>
      <c r="E95" s="17">
        <f t="shared" si="6"/>
        <v>20.45</v>
      </c>
      <c r="F95" s="17">
        <f t="shared" si="6"/>
        <v>71.899999999999991</v>
      </c>
      <c r="G95" s="17">
        <f t="shared" si="6"/>
        <v>599.75</v>
      </c>
      <c r="H95" s="17">
        <f t="shared" si="6"/>
        <v>179.97</v>
      </c>
      <c r="I95" s="19"/>
    </row>
    <row r="96" spans="1:9" ht="71.25" customHeight="1">
      <c r="A96" s="14"/>
      <c r="B96" s="165" t="s">
        <v>81</v>
      </c>
      <c r="C96" s="167"/>
      <c r="D96" s="167"/>
      <c r="E96" s="167"/>
      <c r="F96" s="167"/>
      <c r="G96" s="167"/>
      <c r="H96" s="167"/>
      <c r="I96" s="168"/>
    </row>
    <row r="97" spans="1:9" ht="140.4">
      <c r="A97" s="14"/>
      <c r="B97" s="23" t="s">
        <v>82</v>
      </c>
      <c r="C97" s="16" t="s">
        <v>83</v>
      </c>
      <c r="D97" s="43">
        <v>4</v>
      </c>
      <c r="E97" s="43">
        <v>3.07</v>
      </c>
      <c r="F97" s="43">
        <v>17.489999999999998</v>
      </c>
      <c r="G97" s="43">
        <v>130.21</v>
      </c>
      <c r="H97" s="43">
        <v>0.21</v>
      </c>
      <c r="I97" s="19">
        <v>28</v>
      </c>
    </row>
    <row r="98" spans="1:9" ht="140.4">
      <c r="A98" s="14"/>
      <c r="B98" s="23" t="s">
        <v>38</v>
      </c>
      <c r="C98" s="24" t="s">
        <v>39</v>
      </c>
      <c r="D98" s="17">
        <v>5.22</v>
      </c>
      <c r="E98" s="17">
        <v>4.5</v>
      </c>
      <c r="F98" s="17">
        <v>7.2</v>
      </c>
      <c r="G98" s="17">
        <v>95.4</v>
      </c>
      <c r="H98" s="17">
        <v>1.26</v>
      </c>
      <c r="I98" s="19" t="s">
        <v>40</v>
      </c>
    </row>
    <row r="99" spans="1:9">
      <c r="A99" s="14"/>
      <c r="B99" s="23" t="s">
        <v>34</v>
      </c>
      <c r="C99" s="28">
        <f t="shared" ref="C99:H99" si="7">C97+C98</f>
        <v>230</v>
      </c>
      <c r="D99" s="17">
        <f t="shared" si="7"/>
        <v>9.2199999999999989</v>
      </c>
      <c r="E99" s="17">
        <f t="shared" si="7"/>
        <v>7.57</v>
      </c>
      <c r="F99" s="17">
        <f t="shared" si="7"/>
        <v>24.689999999999998</v>
      </c>
      <c r="G99" s="17">
        <f t="shared" si="7"/>
        <v>225.61</v>
      </c>
      <c r="H99" s="17">
        <f t="shared" si="7"/>
        <v>1.47</v>
      </c>
      <c r="I99" s="17"/>
    </row>
    <row r="100" spans="1:9" ht="71.25" customHeight="1">
      <c r="A100" s="6"/>
      <c r="B100" s="165" t="s">
        <v>41</v>
      </c>
      <c r="C100" s="167"/>
      <c r="D100" s="167"/>
      <c r="E100" s="167"/>
      <c r="F100" s="167"/>
      <c r="G100" s="167"/>
      <c r="H100" s="167"/>
      <c r="I100" s="168"/>
    </row>
    <row r="101" spans="1:9">
      <c r="A101" s="14"/>
      <c r="B101" s="23" t="s">
        <v>84</v>
      </c>
      <c r="C101" s="28">
        <v>80</v>
      </c>
      <c r="D101" s="17">
        <v>11.78</v>
      </c>
      <c r="E101" s="17">
        <v>5.49</v>
      </c>
      <c r="F101" s="17">
        <v>38.39</v>
      </c>
      <c r="G101" s="17">
        <v>115.43</v>
      </c>
      <c r="H101" s="17">
        <v>0.33</v>
      </c>
      <c r="I101" s="22">
        <v>44</v>
      </c>
    </row>
    <row r="102" spans="1:9">
      <c r="A102" s="14"/>
      <c r="B102" s="23" t="s">
        <v>85</v>
      </c>
      <c r="C102" s="50">
        <v>120</v>
      </c>
      <c r="D102" s="17">
        <v>2.2799999999999998</v>
      </c>
      <c r="E102" s="17">
        <v>4.12</v>
      </c>
      <c r="F102" s="17">
        <v>14.99</v>
      </c>
      <c r="G102" s="17">
        <v>114</v>
      </c>
      <c r="H102" s="17">
        <v>8.2899999999999991</v>
      </c>
      <c r="I102" s="22">
        <v>83</v>
      </c>
    </row>
    <row r="103" spans="1:9">
      <c r="A103" s="27">
        <v>13</v>
      </c>
      <c r="B103" s="20" t="s">
        <v>86</v>
      </c>
      <c r="C103" s="21">
        <v>180</v>
      </c>
      <c r="D103" s="43">
        <v>1.3</v>
      </c>
      <c r="E103" s="43">
        <v>1.1200000000000001</v>
      </c>
      <c r="F103" s="43">
        <v>8.15</v>
      </c>
      <c r="G103" s="43">
        <v>48</v>
      </c>
      <c r="H103" s="43">
        <v>0.57999999999999996</v>
      </c>
      <c r="I103" s="44">
        <v>59</v>
      </c>
    </row>
    <row r="104" spans="1:9" ht="280.8">
      <c r="A104" s="14"/>
      <c r="B104" s="30" t="s">
        <v>44</v>
      </c>
      <c r="C104" s="24" t="s">
        <v>57</v>
      </c>
      <c r="D104" s="17">
        <v>1.2</v>
      </c>
      <c r="E104" s="17">
        <v>0.4</v>
      </c>
      <c r="F104" s="17">
        <v>16.8</v>
      </c>
      <c r="G104" s="17">
        <v>76.8</v>
      </c>
      <c r="H104" s="17">
        <v>8</v>
      </c>
      <c r="I104" s="19">
        <v>76</v>
      </c>
    </row>
    <row r="105" spans="1:9">
      <c r="A105" s="14" t="s">
        <v>20</v>
      </c>
      <c r="B105" s="23" t="s">
        <v>32</v>
      </c>
      <c r="C105" s="21">
        <v>20</v>
      </c>
      <c r="D105" s="17">
        <v>1.52</v>
      </c>
      <c r="E105" s="17">
        <v>0.16</v>
      </c>
      <c r="F105" s="17">
        <v>9.84</v>
      </c>
      <c r="G105" s="17">
        <v>47</v>
      </c>
      <c r="H105" s="17">
        <v>0</v>
      </c>
      <c r="I105" s="19" t="s">
        <v>20</v>
      </c>
    </row>
    <row r="106" spans="1:9">
      <c r="A106" s="14"/>
      <c r="B106" s="23" t="s">
        <v>17</v>
      </c>
      <c r="C106" s="21">
        <f t="shared" ref="C106:H106" si="8">C101+C102+C103+C104+C105</f>
        <v>480</v>
      </c>
      <c r="D106" s="17">
        <f t="shared" si="8"/>
        <v>18.079999999999998</v>
      </c>
      <c r="E106" s="17">
        <f t="shared" si="8"/>
        <v>11.290000000000001</v>
      </c>
      <c r="F106" s="17">
        <f t="shared" si="8"/>
        <v>88.17</v>
      </c>
      <c r="G106" s="17">
        <f t="shared" si="8"/>
        <v>401.23</v>
      </c>
      <c r="H106" s="17">
        <f t="shared" si="8"/>
        <v>17.2</v>
      </c>
      <c r="I106" s="19"/>
    </row>
    <row r="107" spans="1:9">
      <c r="A107" s="14"/>
      <c r="B107" s="23"/>
      <c r="C107" s="24"/>
      <c r="D107" s="9" t="s">
        <v>7</v>
      </c>
      <c r="E107" s="7" t="s">
        <v>8</v>
      </c>
      <c r="F107" s="7" t="s">
        <v>9</v>
      </c>
      <c r="G107" s="31" t="s">
        <v>46</v>
      </c>
      <c r="H107" s="7" t="s">
        <v>47</v>
      </c>
      <c r="I107" s="19"/>
    </row>
    <row r="108" spans="1:9">
      <c r="A108" s="14"/>
      <c r="B108" s="32" t="s">
        <v>87</v>
      </c>
      <c r="C108" s="24"/>
      <c r="D108" s="17">
        <f>SUM(D84+D87+D95+D106+D99)</f>
        <v>62.449999999999996</v>
      </c>
      <c r="E108" s="17">
        <f>SUM(E84+E87+E95+E106+E99)</f>
        <v>52.58</v>
      </c>
      <c r="F108" s="17">
        <f>SUM(F84+F87+F95+F106+F99)</f>
        <v>228.01</v>
      </c>
      <c r="G108" s="17">
        <f>SUM(G84+G87+G95+G106+G99)</f>
        <v>1568.0900000000001</v>
      </c>
      <c r="H108" s="17">
        <f>SUM(H84+H87+H95+H106+H99)</f>
        <v>201.91</v>
      </c>
      <c r="I108" s="19"/>
    </row>
    <row r="109" spans="1:9">
      <c r="A109" s="14"/>
      <c r="B109" s="32" t="s">
        <v>49</v>
      </c>
      <c r="C109" s="24"/>
      <c r="D109" s="17">
        <v>42</v>
      </c>
      <c r="E109" s="17">
        <v>47</v>
      </c>
      <c r="F109" s="17">
        <v>203</v>
      </c>
      <c r="G109" s="17">
        <v>1400</v>
      </c>
      <c r="H109" s="17">
        <v>45</v>
      </c>
      <c r="I109" s="19"/>
    </row>
    <row r="110" spans="1:9" ht="139.19999999999999">
      <c r="A110" s="33"/>
      <c r="B110" s="34" t="s">
        <v>50</v>
      </c>
      <c r="C110" s="7"/>
      <c r="D110" s="18">
        <f>D108*100/D109</f>
        <v>148.6904761904762</v>
      </c>
      <c r="E110" s="18">
        <f>E108*100/E109</f>
        <v>111.87234042553192</v>
      </c>
      <c r="F110" s="18">
        <f>F108*100/F109</f>
        <v>112.32019704433498</v>
      </c>
      <c r="G110" s="18">
        <f>G108*100/G109</f>
        <v>112.00642857142857</v>
      </c>
      <c r="H110" s="18">
        <f>H108*100/H109</f>
        <v>448.68888888888887</v>
      </c>
      <c r="I110" s="8"/>
    </row>
    <row r="111" spans="1:9">
      <c r="A111" s="35"/>
      <c r="B111" s="36"/>
      <c r="C111" s="37"/>
      <c r="D111" s="38"/>
      <c r="E111" s="38"/>
      <c r="F111" s="38"/>
      <c r="G111" s="38"/>
      <c r="H111" s="38"/>
      <c r="I111" s="35"/>
    </row>
    <row r="112" spans="1:9">
      <c r="A112" s="35"/>
      <c r="B112" s="1" t="s">
        <v>51</v>
      </c>
      <c r="C112" s="1"/>
      <c r="E112" s="38"/>
      <c r="F112" s="38"/>
      <c r="G112" s="38"/>
      <c r="H112" s="38"/>
      <c r="I112" s="35"/>
    </row>
    <row r="113" spans="1:9">
      <c r="A113" s="35"/>
      <c r="B113" s="1" t="s">
        <v>52</v>
      </c>
      <c r="I113" s="35"/>
    </row>
    <row r="114" spans="1:9" ht="71.25" customHeight="1">
      <c r="A114" s="152" t="s">
        <v>0</v>
      </c>
      <c r="B114" s="154" t="s">
        <v>1</v>
      </c>
      <c r="C114" s="161" t="s">
        <v>2</v>
      </c>
      <c r="D114" s="154" t="s">
        <v>3</v>
      </c>
      <c r="E114" s="163"/>
      <c r="F114" s="164"/>
      <c r="G114" s="154" t="s">
        <v>4</v>
      </c>
      <c r="H114" s="154" t="s">
        <v>5</v>
      </c>
      <c r="I114" s="156" t="s">
        <v>6</v>
      </c>
    </row>
    <row r="115" spans="1:9">
      <c r="A115" s="153"/>
      <c r="B115" s="155"/>
      <c r="C115" s="162"/>
      <c r="D115" s="9" t="s">
        <v>7</v>
      </c>
      <c r="E115" s="7" t="s">
        <v>8</v>
      </c>
      <c r="F115" s="7" t="s">
        <v>9</v>
      </c>
      <c r="G115" s="155"/>
      <c r="H115" s="155"/>
      <c r="I115" s="157"/>
    </row>
    <row r="116" spans="1:9">
      <c r="A116" s="39"/>
      <c r="B116" s="40" t="s">
        <v>88</v>
      </c>
      <c r="C116" s="41"/>
      <c r="D116" s="51"/>
      <c r="E116" s="51"/>
      <c r="F116" s="51"/>
      <c r="G116" s="51"/>
      <c r="H116" s="51"/>
      <c r="I116" s="31"/>
    </row>
    <row r="117" spans="1:9" ht="71.25" customHeight="1">
      <c r="A117" s="39"/>
      <c r="B117" s="154" t="s">
        <v>11</v>
      </c>
      <c r="C117" s="163"/>
      <c r="D117" s="163"/>
      <c r="E117" s="163"/>
      <c r="F117" s="163"/>
      <c r="G117" s="163"/>
      <c r="H117" s="163"/>
      <c r="I117" s="164"/>
    </row>
    <row r="118" spans="1:9" ht="210.6">
      <c r="A118" s="14"/>
      <c r="B118" s="15" t="s">
        <v>89</v>
      </c>
      <c r="C118" s="21">
        <v>150</v>
      </c>
      <c r="D118" s="17">
        <v>4.97</v>
      </c>
      <c r="E118" s="17">
        <v>5.98</v>
      </c>
      <c r="F118" s="17">
        <v>16.28</v>
      </c>
      <c r="G118" s="18">
        <v>139</v>
      </c>
      <c r="H118" s="18">
        <v>1.47</v>
      </c>
      <c r="I118" s="19">
        <v>10.32</v>
      </c>
    </row>
    <row r="119" spans="1:9">
      <c r="A119" s="14">
        <v>15</v>
      </c>
      <c r="B119" s="23" t="s">
        <v>73</v>
      </c>
      <c r="C119" s="21">
        <v>180</v>
      </c>
      <c r="D119" s="43">
        <v>2.35</v>
      </c>
      <c r="E119" s="43">
        <v>1.91</v>
      </c>
      <c r="F119" s="43">
        <v>9.51</v>
      </c>
      <c r="G119" s="43">
        <v>64</v>
      </c>
      <c r="H119" s="43">
        <v>0.91</v>
      </c>
      <c r="I119" s="19">
        <v>2</v>
      </c>
    </row>
    <row r="120" spans="1:9">
      <c r="A120" s="14">
        <v>3</v>
      </c>
      <c r="B120" s="23" t="s">
        <v>90</v>
      </c>
      <c r="C120" s="16" t="s">
        <v>91</v>
      </c>
      <c r="D120" s="17">
        <v>1.57</v>
      </c>
      <c r="E120" s="17">
        <v>4.45</v>
      </c>
      <c r="F120" s="17">
        <v>9.92</v>
      </c>
      <c r="G120" s="17">
        <v>86</v>
      </c>
      <c r="H120" s="17">
        <v>0</v>
      </c>
      <c r="I120" s="19">
        <v>16</v>
      </c>
    </row>
    <row r="121" spans="1:9">
      <c r="A121" s="14"/>
      <c r="B121" s="23" t="s">
        <v>17</v>
      </c>
      <c r="C121" s="24" t="s">
        <v>92</v>
      </c>
      <c r="D121" s="17">
        <f>SUM(D118:D120)</f>
        <v>8.89</v>
      </c>
      <c r="E121" s="17">
        <f>SUM(E118:E120)</f>
        <v>12.34</v>
      </c>
      <c r="F121" s="17">
        <f>SUM(F118:F120)</f>
        <v>35.71</v>
      </c>
      <c r="G121" s="17">
        <f>SUM(G118:G120)</f>
        <v>289</v>
      </c>
      <c r="H121" s="17">
        <f>SUM(H118:H120)</f>
        <v>2.38</v>
      </c>
      <c r="I121" s="19"/>
    </row>
    <row r="122" spans="1:9" ht="71.25" customHeight="1">
      <c r="A122" s="39"/>
      <c r="B122" s="154" t="s">
        <v>19</v>
      </c>
      <c r="C122" s="163"/>
      <c r="D122" s="163"/>
      <c r="E122" s="163"/>
      <c r="F122" s="163"/>
      <c r="G122" s="163"/>
      <c r="H122" s="163"/>
      <c r="I122" s="164"/>
    </row>
    <row r="123" spans="1:9">
      <c r="A123" s="14" t="s">
        <v>20</v>
      </c>
      <c r="B123" s="23" t="s">
        <v>21</v>
      </c>
      <c r="C123" s="16" t="s">
        <v>22</v>
      </c>
      <c r="D123" s="17">
        <v>0.2</v>
      </c>
      <c r="E123" s="17">
        <v>0.1</v>
      </c>
      <c r="F123" s="17">
        <v>10.1</v>
      </c>
      <c r="G123" s="17">
        <v>46</v>
      </c>
      <c r="H123" s="17">
        <v>2</v>
      </c>
      <c r="I123" s="19" t="s">
        <v>20</v>
      </c>
    </row>
    <row r="124" spans="1:9">
      <c r="A124" s="14"/>
      <c r="B124" s="23" t="s">
        <v>17</v>
      </c>
      <c r="C124" s="21" t="str">
        <f t="shared" ref="C124:H124" si="9">C123</f>
        <v>100</v>
      </c>
      <c r="D124" s="17">
        <f t="shared" si="9"/>
        <v>0.2</v>
      </c>
      <c r="E124" s="17">
        <f t="shared" si="9"/>
        <v>0.1</v>
      </c>
      <c r="F124" s="17">
        <f t="shared" si="9"/>
        <v>10.1</v>
      </c>
      <c r="G124" s="17">
        <f t="shared" si="9"/>
        <v>46</v>
      </c>
      <c r="H124" s="17">
        <f t="shared" si="9"/>
        <v>2</v>
      </c>
      <c r="I124" s="19"/>
    </row>
    <row r="125" spans="1:9" ht="71.25" customHeight="1">
      <c r="A125" s="33"/>
      <c r="B125" s="154" t="s">
        <v>24</v>
      </c>
      <c r="C125" s="163"/>
      <c r="D125" s="163"/>
      <c r="E125" s="163"/>
      <c r="F125" s="163"/>
      <c r="G125" s="163"/>
      <c r="H125" s="163"/>
      <c r="I125" s="164"/>
    </row>
    <row r="126" spans="1:9" ht="140.4">
      <c r="A126" s="14"/>
      <c r="B126" s="23" t="s">
        <v>93</v>
      </c>
      <c r="C126" s="26" t="s">
        <v>26</v>
      </c>
      <c r="D126" s="17">
        <v>1.43</v>
      </c>
      <c r="E126" s="17">
        <v>4.63</v>
      </c>
      <c r="F126" s="17">
        <v>0.43</v>
      </c>
      <c r="G126" s="17">
        <v>62.22</v>
      </c>
      <c r="H126" s="17">
        <v>0.99</v>
      </c>
      <c r="I126" s="19">
        <v>56</v>
      </c>
    </row>
    <row r="127" spans="1:9" ht="140.4">
      <c r="A127" s="14"/>
      <c r="B127" s="23" t="s">
        <v>94</v>
      </c>
      <c r="C127" s="24" t="s">
        <v>95</v>
      </c>
      <c r="D127" s="17">
        <v>2.5099999999999998</v>
      </c>
      <c r="E127" s="17">
        <v>3.49</v>
      </c>
      <c r="F127" s="17">
        <v>11.81</v>
      </c>
      <c r="G127" s="17">
        <v>86.63</v>
      </c>
      <c r="H127" s="17">
        <v>4.74</v>
      </c>
      <c r="I127" s="19">
        <v>84</v>
      </c>
    </row>
    <row r="128" spans="1:9" ht="140.4">
      <c r="A128" s="14"/>
      <c r="B128" s="23" t="s">
        <v>96</v>
      </c>
      <c r="C128" s="21">
        <v>60</v>
      </c>
      <c r="D128" s="17">
        <v>8.44</v>
      </c>
      <c r="E128" s="17">
        <v>6.88</v>
      </c>
      <c r="F128" s="17">
        <v>6.13</v>
      </c>
      <c r="G128" s="17">
        <v>119.26</v>
      </c>
      <c r="H128" s="17">
        <v>0.7</v>
      </c>
      <c r="I128" s="19">
        <v>6</v>
      </c>
    </row>
    <row r="129" spans="1:9">
      <c r="A129" s="14"/>
      <c r="B129" s="23" t="s">
        <v>97</v>
      </c>
      <c r="C129" s="21">
        <v>110</v>
      </c>
      <c r="D129" s="17">
        <v>3.84</v>
      </c>
      <c r="E129" s="17">
        <v>3.07</v>
      </c>
      <c r="F129" s="17">
        <v>23.5</v>
      </c>
      <c r="G129" s="17">
        <v>134.19999999999999</v>
      </c>
      <c r="H129" s="17">
        <v>0</v>
      </c>
      <c r="I129" s="19">
        <v>30</v>
      </c>
    </row>
    <row r="130" spans="1:9">
      <c r="A130" s="14">
        <v>54</v>
      </c>
      <c r="B130" s="23" t="s">
        <v>65</v>
      </c>
      <c r="C130" s="21">
        <v>170</v>
      </c>
      <c r="D130" s="17">
        <v>0.46</v>
      </c>
      <c r="E130" s="17">
        <v>0</v>
      </c>
      <c r="F130" s="17">
        <v>15.36</v>
      </c>
      <c r="G130" s="17">
        <v>66</v>
      </c>
      <c r="H130" s="17">
        <v>0.42</v>
      </c>
      <c r="I130" s="19">
        <v>9</v>
      </c>
    </row>
    <row r="131" spans="1:9">
      <c r="A131" s="14" t="s">
        <v>20</v>
      </c>
      <c r="B131" s="23" t="s">
        <v>32</v>
      </c>
      <c r="C131" s="21">
        <v>20</v>
      </c>
      <c r="D131" s="17">
        <v>1.52</v>
      </c>
      <c r="E131" s="17">
        <v>0.16</v>
      </c>
      <c r="F131" s="17">
        <v>9.84</v>
      </c>
      <c r="G131" s="17">
        <v>47</v>
      </c>
      <c r="H131" s="17">
        <v>0</v>
      </c>
      <c r="I131" s="19" t="s">
        <v>20</v>
      </c>
    </row>
    <row r="132" spans="1:9">
      <c r="A132" s="14" t="s">
        <v>20</v>
      </c>
      <c r="B132" s="23" t="s">
        <v>33</v>
      </c>
      <c r="C132" s="21">
        <v>40</v>
      </c>
      <c r="D132" s="17">
        <v>2.64</v>
      </c>
      <c r="E132" s="17">
        <v>0.48</v>
      </c>
      <c r="F132" s="17">
        <v>13.6</v>
      </c>
      <c r="G132" s="17">
        <v>72.400000000000006</v>
      </c>
      <c r="H132" s="17">
        <v>0</v>
      </c>
      <c r="I132" s="19" t="s">
        <v>20</v>
      </c>
    </row>
    <row r="133" spans="1:9">
      <c r="A133" s="14"/>
      <c r="B133" s="23" t="s">
        <v>17</v>
      </c>
      <c r="C133" s="21">
        <v>601</v>
      </c>
      <c r="D133" s="17">
        <f>D126+D127+D128+D129+D130+D131+D132</f>
        <v>20.84</v>
      </c>
      <c r="E133" s="17">
        <f>E126+E127+E128+E129+E130+E131+E132</f>
        <v>18.71</v>
      </c>
      <c r="F133" s="17">
        <f>F126+F127+F128+F129+F130+F131+F132</f>
        <v>80.67</v>
      </c>
      <c r="G133" s="17">
        <f>G126+G127+G128+G129+G130+G131+G132</f>
        <v>587.70999999999992</v>
      </c>
      <c r="H133" s="17">
        <f>H126+H127+H128+H129+H130+H131+H132</f>
        <v>6.8500000000000005</v>
      </c>
      <c r="I133" s="19"/>
    </row>
    <row r="134" spans="1:9" ht="71.25" customHeight="1">
      <c r="A134" s="14"/>
      <c r="B134" s="165" t="s">
        <v>35</v>
      </c>
      <c r="C134" s="167"/>
      <c r="D134" s="167"/>
      <c r="E134" s="167"/>
      <c r="F134" s="167"/>
      <c r="G134" s="167"/>
      <c r="H134" s="167"/>
      <c r="I134" s="168"/>
    </row>
    <row r="135" spans="1:9">
      <c r="A135" s="14"/>
      <c r="B135" s="20" t="s">
        <v>98</v>
      </c>
      <c r="C135" s="46" t="s">
        <v>99</v>
      </c>
      <c r="D135" s="43">
        <v>6.9</v>
      </c>
      <c r="E135" s="43">
        <v>8.9499999999999993</v>
      </c>
      <c r="F135" s="43">
        <v>35.39</v>
      </c>
      <c r="G135" s="43">
        <v>233</v>
      </c>
      <c r="H135" s="43">
        <v>1.1599999999999999</v>
      </c>
      <c r="I135" s="19">
        <v>79</v>
      </c>
    </row>
    <row r="136" spans="1:9" ht="140.4">
      <c r="A136" s="14"/>
      <c r="B136" s="23" t="s">
        <v>38</v>
      </c>
      <c r="C136" s="24" t="s">
        <v>39</v>
      </c>
      <c r="D136" s="17">
        <v>5.22</v>
      </c>
      <c r="E136" s="17">
        <v>4.5</v>
      </c>
      <c r="F136" s="17">
        <v>7.2</v>
      </c>
      <c r="G136" s="17">
        <v>95.4</v>
      </c>
      <c r="H136" s="17">
        <v>1.26</v>
      </c>
      <c r="I136" s="19" t="s">
        <v>40</v>
      </c>
    </row>
    <row r="137" spans="1:9">
      <c r="A137" s="14"/>
      <c r="B137" s="23" t="s">
        <v>34</v>
      </c>
      <c r="C137" s="28">
        <f t="shared" ref="C137:H137" si="10">C135+C136</f>
        <v>270</v>
      </c>
      <c r="D137" s="17">
        <f t="shared" si="10"/>
        <v>12.120000000000001</v>
      </c>
      <c r="E137" s="17">
        <f t="shared" si="10"/>
        <v>13.45</v>
      </c>
      <c r="F137" s="17">
        <f t="shared" si="10"/>
        <v>42.59</v>
      </c>
      <c r="G137" s="17">
        <f t="shared" si="10"/>
        <v>328.4</v>
      </c>
      <c r="H137" s="17">
        <f t="shared" si="10"/>
        <v>2.42</v>
      </c>
      <c r="I137" s="17"/>
    </row>
    <row r="138" spans="1:9" ht="71.25" customHeight="1">
      <c r="A138" s="33"/>
      <c r="B138" s="165" t="s">
        <v>41</v>
      </c>
      <c r="C138" s="167"/>
      <c r="D138" s="167"/>
      <c r="E138" s="167"/>
      <c r="F138" s="167"/>
      <c r="G138" s="167"/>
      <c r="H138" s="167"/>
      <c r="I138" s="168"/>
    </row>
    <row r="139" spans="1:9">
      <c r="A139" s="27"/>
      <c r="B139" s="23" t="s">
        <v>85</v>
      </c>
      <c r="C139" s="50">
        <v>120</v>
      </c>
      <c r="D139" s="17">
        <v>2.2799999999999998</v>
      </c>
      <c r="E139" s="17">
        <v>4.12</v>
      </c>
      <c r="F139" s="17">
        <v>14.99</v>
      </c>
      <c r="G139" s="17">
        <v>114</v>
      </c>
      <c r="H139" s="17">
        <v>8.2899999999999991</v>
      </c>
      <c r="I139" s="22">
        <v>83</v>
      </c>
    </row>
    <row r="140" spans="1:9" ht="140.4">
      <c r="A140" s="27"/>
      <c r="B140" s="23" t="s">
        <v>100</v>
      </c>
      <c r="C140" s="24" t="s">
        <v>22</v>
      </c>
      <c r="D140" s="17">
        <v>11.4</v>
      </c>
      <c r="E140" s="17">
        <v>4.3099999999999996</v>
      </c>
      <c r="F140" s="17">
        <v>1.87</v>
      </c>
      <c r="G140" s="17">
        <v>92</v>
      </c>
      <c r="H140" s="17">
        <v>0.91</v>
      </c>
      <c r="I140" s="22">
        <v>58</v>
      </c>
    </row>
    <row r="141" spans="1:9">
      <c r="A141" s="47">
        <v>59</v>
      </c>
      <c r="B141" s="20" t="s">
        <v>14</v>
      </c>
      <c r="C141" s="21">
        <v>180</v>
      </c>
      <c r="D141" s="17">
        <v>0</v>
      </c>
      <c r="E141" s="17">
        <v>0</v>
      </c>
      <c r="F141" s="17">
        <v>6.05</v>
      </c>
      <c r="G141" s="17">
        <v>25</v>
      </c>
      <c r="H141" s="17">
        <v>0</v>
      </c>
      <c r="I141" s="22">
        <v>13</v>
      </c>
    </row>
    <row r="142" spans="1:9" ht="280.8">
      <c r="A142" s="52"/>
      <c r="B142" s="30" t="s">
        <v>44</v>
      </c>
      <c r="C142" s="24" t="s">
        <v>57</v>
      </c>
      <c r="D142" s="17">
        <v>1.2</v>
      </c>
      <c r="E142" s="17">
        <v>0.4</v>
      </c>
      <c r="F142" s="17">
        <v>16.8</v>
      </c>
      <c r="G142" s="17">
        <v>76.8</v>
      </c>
      <c r="H142" s="17">
        <v>8</v>
      </c>
      <c r="I142" s="19">
        <v>76</v>
      </c>
    </row>
    <row r="143" spans="1:9">
      <c r="A143" s="14" t="s">
        <v>20</v>
      </c>
      <c r="B143" s="23" t="s">
        <v>32</v>
      </c>
      <c r="C143" s="21">
        <v>20</v>
      </c>
      <c r="D143" s="17">
        <v>1.52</v>
      </c>
      <c r="E143" s="17">
        <v>0.16</v>
      </c>
      <c r="F143" s="17">
        <v>9.84</v>
      </c>
      <c r="G143" s="17">
        <v>47</v>
      </c>
      <c r="H143" s="17">
        <v>0</v>
      </c>
      <c r="I143" s="19" t="s">
        <v>20</v>
      </c>
    </row>
    <row r="144" spans="1:9" s="48" customFormat="1">
      <c r="A144" s="14"/>
      <c r="B144" s="23" t="s">
        <v>17</v>
      </c>
      <c r="C144" s="21">
        <f t="shared" ref="C144:H144" si="11">C139+C140+C141+C142+C143</f>
        <v>500</v>
      </c>
      <c r="D144" s="17">
        <f t="shared" si="11"/>
        <v>16.399999999999999</v>
      </c>
      <c r="E144" s="17">
        <f t="shared" si="11"/>
        <v>8.99</v>
      </c>
      <c r="F144" s="17">
        <f t="shared" si="11"/>
        <v>49.55</v>
      </c>
      <c r="G144" s="17">
        <f t="shared" si="11"/>
        <v>354.8</v>
      </c>
      <c r="H144" s="17">
        <f t="shared" si="11"/>
        <v>17.2</v>
      </c>
      <c r="I144" s="19"/>
    </row>
    <row r="145" spans="1:9">
      <c r="A145" s="14"/>
      <c r="B145" s="23"/>
      <c r="C145" s="24"/>
      <c r="D145" s="9" t="s">
        <v>7</v>
      </c>
      <c r="E145" s="7" t="s">
        <v>8</v>
      </c>
      <c r="F145" s="7" t="s">
        <v>9</v>
      </c>
      <c r="G145" s="31" t="s">
        <v>46</v>
      </c>
      <c r="H145" s="7" t="s">
        <v>47</v>
      </c>
      <c r="I145" s="19"/>
    </row>
    <row r="146" spans="1:9">
      <c r="A146" s="14"/>
      <c r="B146" s="32" t="s">
        <v>101</v>
      </c>
      <c r="C146" s="24"/>
      <c r="D146" s="17">
        <f>SUM(D121+D124+D133+D144+D137)</f>
        <v>58.45</v>
      </c>
      <c r="E146" s="17">
        <f>SUM(E121+E124+E133+E144+E137)</f>
        <v>53.59</v>
      </c>
      <c r="F146" s="17">
        <f>SUM(F121+F124+F133+F144+F137)</f>
        <v>218.62</v>
      </c>
      <c r="G146" s="17">
        <f>SUM(G121+G124+G133+G144+G137)</f>
        <v>1605.9099999999999</v>
      </c>
      <c r="H146" s="17">
        <f>SUM(H121+H124+H133+H144+H137)</f>
        <v>30.85</v>
      </c>
      <c r="I146" s="19"/>
    </row>
    <row r="147" spans="1:9">
      <c r="A147" s="14"/>
      <c r="B147" s="32" t="s">
        <v>49</v>
      </c>
      <c r="C147" s="24"/>
      <c r="D147" s="17">
        <v>42</v>
      </c>
      <c r="E147" s="17">
        <v>47</v>
      </c>
      <c r="F147" s="17">
        <v>203</v>
      </c>
      <c r="G147" s="17">
        <v>1400</v>
      </c>
      <c r="H147" s="17">
        <v>45</v>
      </c>
      <c r="I147" s="19"/>
    </row>
    <row r="148" spans="1:9" ht="139.19999999999999">
      <c r="A148" s="33"/>
      <c r="B148" s="34" t="s">
        <v>50</v>
      </c>
      <c r="C148" s="7"/>
      <c r="D148" s="18">
        <f>D146*100/D147</f>
        <v>139.16666666666666</v>
      </c>
      <c r="E148" s="18">
        <f>E146*100/E147</f>
        <v>114.02127659574468</v>
      </c>
      <c r="F148" s="18">
        <f>F146*100/F147</f>
        <v>107.69458128078817</v>
      </c>
      <c r="G148" s="18">
        <f>G146*100/G147</f>
        <v>114.70785714285714</v>
      </c>
      <c r="H148" s="18">
        <f>H146*100/H147</f>
        <v>68.555555555555557</v>
      </c>
      <c r="I148" s="8"/>
    </row>
    <row r="149" spans="1:9">
      <c r="A149" s="35"/>
      <c r="B149" s="36"/>
      <c r="C149" s="37"/>
      <c r="D149" s="38"/>
      <c r="E149" s="38"/>
      <c r="F149" s="38"/>
      <c r="G149" s="38"/>
      <c r="H149" s="38"/>
      <c r="I149" s="35"/>
    </row>
    <row r="150" spans="1:9">
      <c r="A150" s="35"/>
      <c r="B150" s="1" t="s">
        <v>51</v>
      </c>
      <c r="C150" s="1"/>
      <c r="E150" s="38"/>
      <c r="F150" s="38"/>
      <c r="G150" s="38"/>
      <c r="H150" s="38"/>
      <c r="I150" s="35"/>
    </row>
    <row r="151" spans="1:9">
      <c r="A151" s="35"/>
      <c r="B151" s="1" t="s">
        <v>52</v>
      </c>
      <c r="I151" s="35"/>
    </row>
    <row r="152" spans="1:9" ht="71.25" customHeight="1">
      <c r="A152" s="152" t="s">
        <v>0</v>
      </c>
      <c r="B152" s="154" t="s">
        <v>1</v>
      </c>
      <c r="C152" s="161" t="s">
        <v>2</v>
      </c>
      <c r="D152" s="154" t="s">
        <v>3</v>
      </c>
      <c r="E152" s="163"/>
      <c r="F152" s="164"/>
      <c r="G152" s="154" t="s">
        <v>4</v>
      </c>
      <c r="H152" s="154" t="s">
        <v>5</v>
      </c>
      <c r="I152" s="156" t="s">
        <v>6</v>
      </c>
    </row>
    <row r="153" spans="1:9">
      <c r="A153" s="153"/>
      <c r="B153" s="155"/>
      <c r="C153" s="162"/>
      <c r="D153" s="9" t="s">
        <v>7</v>
      </c>
      <c r="E153" s="7" t="s">
        <v>8</v>
      </c>
      <c r="F153" s="7" t="s">
        <v>9</v>
      </c>
      <c r="G153" s="155"/>
      <c r="H153" s="155"/>
      <c r="I153" s="157"/>
    </row>
    <row r="154" spans="1:9">
      <c r="A154" s="39"/>
      <c r="B154" s="40" t="s">
        <v>102</v>
      </c>
      <c r="C154" s="41"/>
      <c r="D154" s="41"/>
      <c r="E154" s="41"/>
      <c r="F154" s="41"/>
      <c r="G154" s="41"/>
      <c r="H154" s="41"/>
      <c r="I154" s="31"/>
    </row>
    <row r="155" spans="1:9" ht="71.25" customHeight="1">
      <c r="A155" s="39"/>
      <c r="B155" s="154" t="s">
        <v>11</v>
      </c>
      <c r="C155" s="163"/>
      <c r="D155" s="163"/>
      <c r="E155" s="163"/>
      <c r="F155" s="163"/>
      <c r="G155" s="163"/>
      <c r="H155" s="163"/>
      <c r="I155" s="164"/>
    </row>
    <row r="156" spans="1:9">
      <c r="A156" s="14"/>
      <c r="B156" s="23" t="s">
        <v>97</v>
      </c>
      <c r="C156" s="21">
        <v>110</v>
      </c>
      <c r="D156" s="17">
        <v>3.84</v>
      </c>
      <c r="E156" s="17">
        <v>3.07</v>
      </c>
      <c r="F156" s="17">
        <v>23.5</v>
      </c>
      <c r="G156" s="17">
        <v>134.19999999999999</v>
      </c>
      <c r="H156" s="17">
        <v>0</v>
      </c>
      <c r="I156" s="19">
        <v>30</v>
      </c>
    </row>
    <row r="157" spans="1:9">
      <c r="A157" s="14">
        <v>2</v>
      </c>
      <c r="B157" s="23" t="s">
        <v>73</v>
      </c>
      <c r="C157" s="21">
        <v>180</v>
      </c>
      <c r="D157" s="43">
        <v>2.35</v>
      </c>
      <c r="E157" s="43">
        <v>1.91</v>
      </c>
      <c r="F157" s="43">
        <v>9.51</v>
      </c>
      <c r="G157" s="43">
        <v>64</v>
      </c>
      <c r="H157" s="43">
        <v>0.91</v>
      </c>
      <c r="I157" s="19">
        <v>2</v>
      </c>
    </row>
    <row r="158" spans="1:9">
      <c r="A158" s="14">
        <v>16</v>
      </c>
      <c r="B158" s="23" t="s">
        <v>90</v>
      </c>
      <c r="C158" s="16" t="s">
        <v>91</v>
      </c>
      <c r="D158" s="17">
        <v>1.57</v>
      </c>
      <c r="E158" s="17">
        <v>4.45</v>
      </c>
      <c r="F158" s="17">
        <v>9.92</v>
      </c>
      <c r="G158" s="17">
        <v>86</v>
      </c>
      <c r="H158" s="17">
        <v>0</v>
      </c>
      <c r="I158" s="19">
        <v>16</v>
      </c>
    </row>
    <row r="159" spans="1:9">
      <c r="A159" s="14"/>
      <c r="B159" s="23" t="s">
        <v>17</v>
      </c>
      <c r="C159" s="25" t="s">
        <v>103</v>
      </c>
      <c r="D159" s="17">
        <f>SUM(D156:D158)</f>
        <v>7.76</v>
      </c>
      <c r="E159" s="17">
        <f>SUM(E156:E158)</f>
        <v>9.43</v>
      </c>
      <c r="F159" s="17">
        <f>SUM(F156:F158)</f>
        <v>42.93</v>
      </c>
      <c r="G159" s="17">
        <f>SUM(G156:G158)</f>
        <v>284.2</v>
      </c>
      <c r="H159" s="17">
        <f>SUM(H156:H158)</f>
        <v>0.91</v>
      </c>
      <c r="I159" s="19"/>
    </row>
    <row r="160" spans="1:9" ht="71.25" customHeight="1">
      <c r="A160" s="39"/>
      <c r="B160" s="154" t="s">
        <v>19</v>
      </c>
      <c r="C160" s="163"/>
      <c r="D160" s="163"/>
      <c r="E160" s="163"/>
      <c r="F160" s="163"/>
      <c r="G160" s="163"/>
      <c r="H160" s="163"/>
      <c r="I160" s="164"/>
    </row>
    <row r="161" spans="1:9">
      <c r="A161" s="14" t="s">
        <v>20</v>
      </c>
      <c r="B161" s="23" t="s">
        <v>21</v>
      </c>
      <c r="C161" s="16" t="s">
        <v>22</v>
      </c>
      <c r="D161" s="17">
        <v>0.2</v>
      </c>
      <c r="E161" s="17">
        <v>0.1</v>
      </c>
      <c r="F161" s="17">
        <v>10.1</v>
      </c>
      <c r="G161" s="17">
        <v>46</v>
      </c>
      <c r="H161" s="17">
        <v>2</v>
      </c>
      <c r="I161" s="19" t="s">
        <v>20</v>
      </c>
    </row>
    <row r="162" spans="1:9">
      <c r="A162" s="14"/>
      <c r="B162" s="23" t="s">
        <v>17</v>
      </c>
      <c r="C162" s="21" t="str">
        <f t="shared" ref="C162:H162" si="12">C161</f>
        <v>100</v>
      </c>
      <c r="D162" s="17">
        <f t="shared" si="12"/>
        <v>0.2</v>
      </c>
      <c r="E162" s="17">
        <f t="shared" si="12"/>
        <v>0.1</v>
      </c>
      <c r="F162" s="17">
        <f t="shared" si="12"/>
        <v>10.1</v>
      </c>
      <c r="G162" s="17">
        <f t="shared" si="12"/>
        <v>46</v>
      </c>
      <c r="H162" s="17">
        <f t="shared" si="12"/>
        <v>2</v>
      </c>
      <c r="I162" s="19"/>
    </row>
    <row r="163" spans="1:9" ht="71.25" customHeight="1">
      <c r="A163" s="33"/>
      <c r="B163" s="154" t="s">
        <v>24</v>
      </c>
      <c r="C163" s="163"/>
      <c r="D163" s="163"/>
      <c r="E163" s="163"/>
      <c r="F163" s="163"/>
      <c r="G163" s="163"/>
      <c r="H163" s="163"/>
      <c r="I163" s="164"/>
    </row>
    <row r="164" spans="1:9" ht="140.4">
      <c r="A164" s="27">
        <v>66</v>
      </c>
      <c r="B164" s="23" t="s">
        <v>77</v>
      </c>
      <c r="C164" s="16" t="s">
        <v>26</v>
      </c>
      <c r="D164" s="17">
        <v>0.8</v>
      </c>
      <c r="E164" s="17">
        <v>3.05</v>
      </c>
      <c r="F164" s="17">
        <v>2.5499999999999998</v>
      </c>
      <c r="G164" s="17">
        <v>41</v>
      </c>
      <c r="H164" s="17">
        <v>2.75</v>
      </c>
      <c r="I164" s="22">
        <v>66</v>
      </c>
    </row>
    <row r="165" spans="1:9" ht="210.6">
      <c r="A165" s="14">
        <v>52</v>
      </c>
      <c r="B165" s="23" t="s">
        <v>104</v>
      </c>
      <c r="C165" s="24" t="s">
        <v>95</v>
      </c>
      <c r="D165" s="17">
        <v>2.11</v>
      </c>
      <c r="E165" s="17">
        <v>3.07</v>
      </c>
      <c r="F165" s="17">
        <v>5.88</v>
      </c>
      <c r="G165" s="17">
        <v>65.97</v>
      </c>
      <c r="H165" s="17">
        <v>5.87</v>
      </c>
      <c r="I165" s="19">
        <v>5</v>
      </c>
    </row>
    <row r="166" spans="1:9">
      <c r="A166" s="14"/>
      <c r="B166" s="23" t="s">
        <v>105</v>
      </c>
      <c r="C166" s="26" t="s">
        <v>69</v>
      </c>
      <c r="D166" s="17">
        <v>9.48</v>
      </c>
      <c r="E166" s="17">
        <v>7.6</v>
      </c>
      <c r="F166" s="17">
        <v>1.78</v>
      </c>
      <c r="G166" s="17">
        <v>123</v>
      </c>
      <c r="H166" s="17">
        <v>7.0000000000000007E-2</v>
      </c>
      <c r="I166" s="19">
        <v>81</v>
      </c>
    </row>
    <row r="167" spans="1:9">
      <c r="A167" s="14"/>
      <c r="B167" s="23" t="s">
        <v>64</v>
      </c>
      <c r="C167" s="21">
        <v>110</v>
      </c>
      <c r="D167" s="17">
        <v>6.26</v>
      </c>
      <c r="E167" s="17">
        <v>4.8499999999999996</v>
      </c>
      <c r="F167" s="17">
        <v>28.33</v>
      </c>
      <c r="G167" s="17">
        <v>181.35</v>
      </c>
      <c r="H167" s="17">
        <v>0</v>
      </c>
      <c r="I167" s="22">
        <v>65</v>
      </c>
    </row>
    <row r="168" spans="1:9">
      <c r="A168" s="14">
        <v>20</v>
      </c>
      <c r="B168" s="23" t="s">
        <v>65</v>
      </c>
      <c r="C168" s="21">
        <v>170</v>
      </c>
      <c r="D168" s="17">
        <v>0.46</v>
      </c>
      <c r="E168" s="17">
        <v>0</v>
      </c>
      <c r="F168" s="17">
        <v>15.36</v>
      </c>
      <c r="G168" s="17">
        <v>66</v>
      </c>
      <c r="H168" s="17">
        <v>0.42</v>
      </c>
      <c r="I168" s="19">
        <v>9</v>
      </c>
    </row>
    <row r="169" spans="1:9">
      <c r="A169" s="14" t="s">
        <v>20</v>
      </c>
      <c r="B169" s="23" t="s">
        <v>32</v>
      </c>
      <c r="C169" s="21">
        <v>20</v>
      </c>
      <c r="D169" s="17">
        <v>1.52</v>
      </c>
      <c r="E169" s="17">
        <v>0.16</v>
      </c>
      <c r="F169" s="17">
        <v>9.84</v>
      </c>
      <c r="G169" s="17">
        <v>47</v>
      </c>
      <c r="H169" s="17">
        <v>0</v>
      </c>
      <c r="I169" s="19" t="s">
        <v>20</v>
      </c>
    </row>
    <row r="170" spans="1:9">
      <c r="A170" s="14" t="s">
        <v>20</v>
      </c>
      <c r="B170" s="30" t="s">
        <v>33</v>
      </c>
      <c r="C170" s="53">
        <v>40</v>
      </c>
      <c r="D170" s="54">
        <v>2.64</v>
      </c>
      <c r="E170" s="54">
        <v>0.48</v>
      </c>
      <c r="F170" s="54">
        <v>13.6</v>
      </c>
      <c r="G170" s="54">
        <v>72.400000000000006</v>
      </c>
      <c r="H170" s="54">
        <v>0</v>
      </c>
      <c r="I170" s="55" t="s">
        <v>20</v>
      </c>
    </row>
    <row r="171" spans="1:9">
      <c r="A171" s="14"/>
      <c r="B171" s="30" t="s">
        <v>34</v>
      </c>
      <c r="C171" s="25" t="s">
        <v>106</v>
      </c>
      <c r="D171" s="54">
        <f>SUM(D164:D170)</f>
        <v>23.27</v>
      </c>
      <c r="E171" s="54">
        <f>SUM(E164:E170)</f>
        <v>19.21</v>
      </c>
      <c r="F171" s="54">
        <f>SUM(F164:F170)</f>
        <v>77.339999999999989</v>
      </c>
      <c r="G171" s="54">
        <f>SUM(G164:G170)</f>
        <v>596.71999999999991</v>
      </c>
      <c r="H171" s="54">
        <f>SUM(H164:H170)</f>
        <v>9.1100000000000012</v>
      </c>
      <c r="I171" s="55"/>
    </row>
    <row r="172" spans="1:9" ht="71.25" customHeight="1">
      <c r="A172" s="14"/>
      <c r="B172" s="148" t="s">
        <v>35</v>
      </c>
      <c r="C172" s="149"/>
      <c r="D172" s="149"/>
      <c r="E172" s="149"/>
      <c r="F172" s="149"/>
      <c r="G172" s="149"/>
      <c r="H172" s="149"/>
      <c r="I172" s="150"/>
    </row>
    <row r="173" spans="1:9">
      <c r="A173" s="14"/>
      <c r="B173" s="30" t="s">
        <v>107</v>
      </c>
      <c r="C173" s="25" t="s">
        <v>108</v>
      </c>
      <c r="D173" s="54">
        <v>5.19</v>
      </c>
      <c r="E173" s="54">
        <v>8.23</v>
      </c>
      <c r="F173" s="54">
        <v>34.79</v>
      </c>
      <c r="G173" s="54">
        <v>248.5</v>
      </c>
      <c r="H173" s="54">
        <v>5.71</v>
      </c>
      <c r="I173" s="55">
        <v>12</v>
      </c>
    </row>
    <row r="174" spans="1:9" ht="140.4">
      <c r="A174" s="14"/>
      <c r="B174" s="30" t="s">
        <v>38</v>
      </c>
      <c r="C174" s="25" t="s">
        <v>39</v>
      </c>
      <c r="D174" s="54">
        <v>5.22</v>
      </c>
      <c r="E174" s="54">
        <v>4.5</v>
      </c>
      <c r="F174" s="54">
        <v>7.2</v>
      </c>
      <c r="G174" s="54">
        <v>95.4</v>
      </c>
      <c r="H174" s="54">
        <v>1.26</v>
      </c>
      <c r="I174" s="55" t="s">
        <v>40</v>
      </c>
    </row>
    <row r="175" spans="1:9">
      <c r="A175" s="14"/>
      <c r="B175" s="30" t="s">
        <v>34</v>
      </c>
      <c r="C175" s="57">
        <f t="shared" ref="C175:H175" si="13">C173+C174</f>
        <v>250</v>
      </c>
      <c r="D175" s="54">
        <f t="shared" si="13"/>
        <v>10.41</v>
      </c>
      <c r="E175" s="54">
        <f t="shared" si="13"/>
        <v>12.73</v>
      </c>
      <c r="F175" s="54">
        <f t="shared" si="13"/>
        <v>41.99</v>
      </c>
      <c r="G175" s="54">
        <f t="shared" si="13"/>
        <v>343.9</v>
      </c>
      <c r="H175" s="54">
        <f t="shared" si="13"/>
        <v>6.97</v>
      </c>
      <c r="I175" s="54"/>
    </row>
    <row r="176" spans="1:9" ht="71.25" customHeight="1">
      <c r="A176" s="33"/>
      <c r="B176" s="148" t="s">
        <v>41</v>
      </c>
      <c r="C176" s="149"/>
      <c r="D176" s="149"/>
      <c r="E176" s="149"/>
      <c r="F176" s="149"/>
      <c r="G176" s="149"/>
      <c r="H176" s="149"/>
      <c r="I176" s="150"/>
    </row>
    <row r="177" spans="1:9">
      <c r="A177" s="27">
        <v>44</v>
      </c>
      <c r="B177" s="30" t="s">
        <v>109</v>
      </c>
      <c r="C177" s="25" t="s">
        <v>110</v>
      </c>
      <c r="D177" s="54">
        <v>9.65</v>
      </c>
      <c r="E177" s="54">
        <v>9.8000000000000007</v>
      </c>
      <c r="F177" s="54">
        <v>12.06</v>
      </c>
      <c r="G177" s="54">
        <v>187</v>
      </c>
      <c r="H177" s="54">
        <v>33.22</v>
      </c>
      <c r="I177" s="55">
        <v>60</v>
      </c>
    </row>
    <row r="178" spans="1:9">
      <c r="A178" s="27"/>
      <c r="B178" s="30" t="s">
        <v>32</v>
      </c>
      <c r="C178" s="53">
        <v>20</v>
      </c>
      <c r="D178" s="54">
        <v>1.52</v>
      </c>
      <c r="E178" s="54">
        <v>0.16</v>
      </c>
      <c r="F178" s="54">
        <v>9.84</v>
      </c>
      <c r="G178" s="54">
        <v>47</v>
      </c>
      <c r="H178" s="54">
        <v>0</v>
      </c>
      <c r="I178" s="55" t="s">
        <v>20</v>
      </c>
    </row>
    <row r="179" spans="1:9" ht="280.8">
      <c r="A179" s="27"/>
      <c r="B179" s="30" t="s">
        <v>44</v>
      </c>
      <c r="C179" s="25" t="s">
        <v>57</v>
      </c>
      <c r="D179" s="54">
        <v>1.2</v>
      </c>
      <c r="E179" s="54">
        <v>0.4</v>
      </c>
      <c r="F179" s="54">
        <v>16.8</v>
      </c>
      <c r="G179" s="54">
        <v>76.8</v>
      </c>
      <c r="H179" s="54">
        <v>8</v>
      </c>
      <c r="I179" s="55">
        <v>76</v>
      </c>
    </row>
    <row r="180" spans="1:9">
      <c r="A180" s="47">
        <v>31</v>
      </c>
      <c r="B180" s="58" t="s">
        <v>14</v>
      </c>
      <c r="C180" s="53">
        <v>180</v>
      </c>
      <c r="D180" s="54">
        <v>0</v>
      </c>
      <c r="E180" s="54">
        <v>0</v>
      </c>
      <c r="F180" s="54">
        <v>6.05</v>
      </c>
      <c r="G180" s="54">
        <v>25</v>
      </c>
      <c r="H180" s="54">
        <v>0</v>
      </c>
      <c r="I180" s="59">
        <v>13</v>
      </c>
    </row>
    <row r="181" spans="1:9" ht="144.75" customHeight="1">
      <c r="A181" s="14"/>
      <c r="B181" s="30" t="s">
        <v>34</v>
      </c>
      <c r="C181" s="53">
        <f t="shared" ref="C181:H181" si="14">C177+C178+C179+C180</f>
        <v>530</v>
      </c>
      <c r="D181" s="54">
        <f t="shared" si="14"/>
        <v>12.37</v>
      </c>
      <c r="E181" s="54">
        <f t="shared" si="14"/>
        <v>10.360000000000001</v>
      </c>
      <c r="F181" s="54">
        <f t="shared" si="14"/>
        <v>44.75</v>
      </c>
      <c r="G181" s="54">
        <f t="shared" si="14"/>
        <v>335.8</v>
      </c>
      <c r="H181" s="54">
        <f t="shared" si="14"/>
        <v>41.22</v>
      </c>
      <c r="I181" s="55"/>
    </row>
    <row r="182" spans="1:9">
      <c r="A182" s="14"/>
      <c r="B182" s="30"/>
      <c r="C182" s="25"/>
      <c r="D182" s="60" t="s">
        <v>7</v>
      </c>
      <c r="E182" s="61" t="s">
        <v>8</v>
      </c>
      <c r="F182" s="61" t="s">
        <v>9</v>
      </c>
      <c r="G182" s="62" t="s">
        <v>46</v>
      </c>
      <c r="H182" s="61" t="s">
        <v>47</v>
      </c>
      <c r="I182" s="55"/>
    </row>
    <row r="183" spans="1:9">
      <c r="A183" s="14"/>
      <c r="B183" s="63" t="s">
        <v>111</v>
      </c>
      <c r="C183" s="25"/>
      <c r="D183" s="54">
        <f>D159+D162+D181+D171+D175</f>
        <v>54.009999999999991</v>
      </c>
      <c r="E183" s="54">
        <f>E159+E162+E181+E171+E175</f>
        <v>51.83</v>
      </c>
      <c r="F183" s="54">
        <f>F159+F162+F181+F171+F175</f>
        <v>217.11</v>
      </c>
      <c r="G183" s="54">
        <f>G159+G162+G181+G171+G175</f>
        <v>1606.62</v>
      </c>
      <c r="H183" s="54">
        <f>H159+H162+H181+H171+H175</f>
        <v>60.209999999999994</v>
      </c>
      <c r="I183" s="55"/>
    </row>
    <row r="184" spans="1:9">
      <c r="A184" s="14"/>
      <c r="B184" s="63" t="s">
        <v>49</v>
      </c>
      <c r="C184" s="25"/>
      <c r="D184" s="54">
        <v>42</v>
      </c>
      <c r="E184" s="54">
        <v>47</v>
      </c>
      <c r="F184" s="54">
        <v>203</v>
      </c>
      <c r="G184" s="54">
        <v>1400</v>
      </c>
      <c r="H184" s="54">
        <v>45</v>
      </c>
      <c r="I184" s="55"/>
    </row>
    <row r="185" spans="1:9" ht="139.19999999999999">
      <c r="A185" s="33"/>
      <c r="B185" s="64" t="s">
        <v>50</v>
      </c>
      <c r="C185" s="61"/>
      <c r="D185" s="65">
        <f>D183*100/D184</f>
        <v>128.59523809523807</v>
      </c>
      <c r="E185" s="65">
        <f>E183*100/E184</f>
        <v>110.27659574468085</v>
      </c>
      <c r="F185" s="65">
        <f>F183*100/F184</f>
        <v>106.95073891625616</v>
      </c>
      <c r="G185" s="65">
        <f>G183*100/G184</f>
        <v>114.75857142857143</v>
      </c>
      <c r="H185" s="65">
        <f>H183*100/H184</f>
        <v>133.79999999999998</v>
      </c>
      <c r="I185" s="56"/>
    </row>
    <row r="186" spans="1:9">
      <c r="A186" s="66"/>
      <c r="B186" s="67"/>
      <c r="C186" s="68"/>
      <c r="D186" s="69"/>
      <c r="E186" s="69"/>
      <c r="F186" s="69"/>
      <c r="G186" s="69"/>
      <c r="H186" s="69"/>
      <c r="I186" s="70"/>
    </row>
    <row r="187" spans="1:9">
      <c r="A187" s="66"/>
      <c r="B187" s="71" t="s">
        <v>51</v>
      </c>
      <c r="C187" s="71"/>
      <c r="D187" s="71"/>
      <c r="E187" s="69"/>
      <c r="F187" s="69"/>
      <c r="G187" s="69"/>
      <c r="H187" s="69"/>
      <c r="I187" s="70"/>
    </row>
    <row r="188" spans="1:9">
      <c r="A188" s="66"/>
      <c r="B188" s="71" t="s">
        <v>52</v>
      </c>
      <c r="C188" s="72"/>
      <c r="D188" s="71"/>
      <c r="E188" s="71"/>
      <c r="F188" s="71"/>
      <c r="G188" s="71"/>
      <c r="H188" s="71"/>
      <c r="I188" s="70"/>
    </row>
    <row r="189" spans="1:9">
      <c r="A189" s="152" t="s">
        <v>0</v>
      </c>
      <c r="B189" s="145" t="s">
        <v>1</v>
      </c>
      <c r="C189" s="143" t="s">
        <v>2</v>
      </c>
      <c r="D189" s="145" t="s">
        <v>3</v>
      </c>
      <c r="E189" s="146"/>
      <c r="F189" s="147"/>
      <c r="G189" s="145" t="s">
        <v>4</v>
      </c>
      <c r="H189" s="145" t="s">
        <v>5</v>
      </c>
      <c r="I189" s="141" t="s">
        <v>6</v>
      </c>
    </row>
    <row r="190" spans="1:9" ht="71.25" customHeight="1">
      <c r="A190" s="153"/>
      <c r="B190" s="151"/>
      <c r="C190" s="144"/>
      <c r="D190" s="60" t="s">
        <v>7</v>
      </c>
      <c r="E190" s="61" t="s">
        <v>8</v>
      </c>
      <c r="F190" s="61" t="s">
        <v>9</v>
      </c>
      <c r="G190" s="151"/>
      <c r="H190" s="151"/>
      <c r="I190" s="142"/>
    </row>
    <row r="191" spans="1:9">
      <c r="A191" s="39"/>
      <c r="B191" s="73" t="s">
        <v>112</v>
      </c>
      <c r="C191" s="74"/>
      <c r="D191" s="75"/>
      <c r="E191" s="75"/>
      <c r="F191" s="75"/>
      <c r="G191" s="74"/>
      <c r="H191" s="74"/>
      <c r="I191" s="62"/>
    </row>
    <row r="192" spans="1:9">
      <c r="A192" s="39"/>
      <c r="B192" s="145" t="s">
        <v>11</v>
      </c>
      <c r="C192" s="146"/>
      <c r="D192" s="146"/>
      <c r="E192" s="146"/>
      <c r="F192" s="146"/>
      <c r="G192" s="146"/>
      <c r="H192" s="146"/>
      <c r="I192" s="147"/>
    </row>
    <row r="193" spans="1:9" ht="71.25" customHeight="1">
      <c r="A193" s="14"/>
      <c r="B193" s="58" t="s">
        <v>113</v>
      </c>
      <c r="C193" s="53">
        <v>150</v>
      </c>
      <c r="D193" s="54">
        <v>4.33</v>
      </c>
      <c r="E193" s="54">
        <v>5.43</v>
      </c>
      <c r="F193" s="54">
        <v>13.27</v>
      </c>
      <c r="G193" s="65">
        <v>119</v>
      </c>
      <c r="H193" s="76">
        <v>0.87</v>
      </c>
      <c r="I193" s="55">
        <v>1</v>
      </c>
    </row>
    <row r="194" spans="1:9">
      <c r="A194" s="14"/>
      <c r="B194" s="30" t="s">
        <v>45</v>
      </c>
      <c r="C194" s="53">
        <v>180</v>
      </c>
      <c r="D194" s="54">
        <v>2.3199999999999998</v>
      </c>
      <c r="E194" s="54">
        <v>1.93</v>
      </c>
      <c r="F194" s="54">
        <v>9.4700000000000006</v>
      </c>
      <c r="G194" s="54">
        <v>65</v>
      </c>
      <c r="H194" s="54">
        <v>0.91</v>
      </c>
      <c r="I194" s="55">
        <v>15</v>
      </c>
    </row>
    <row r="195" spans="1:9">
      <c r="A195" s="14">
        <v>16</v>
      </c>
      <c r="B195" s="30" t="s">
        <v>90</v>
      </c>
      <c r="C195" s="77" t="s">
        <v>91</v>
      </c>
      <c r="D195" s="54">
        <v>1.57</v>
      </c>
      <c r="E195" s="54">
        <v>4.45</v>
      </c>
      <c r="F195" s="54">
        <v>9.92</v>
      </c>
      <c r="G195" s="54">
        <v>86</v>
      </c>
      <c r="H195" s="54">
        <v>0</v>
      </c>
      <c r="I195" s="55">
        <v>16</v>
      </c>
    </row>
    <row r="196" spans="1:9">
      <c r="A196" s="14"/>
      <c r="B196" s="30" t="s">
        <v>17</v>
      </c>
      <c r="C196" s="77" t="s">
        <v>92</v>
      </c>
      <c r="D196" s="54">
        <f>SUM(D193:D195)</f>
        <v>8.2200000000000006</v>
      </c>
      <c r="E196" s="54">
        <f>SUM(E193:E195)</f>
        <v>11.809999999999999</v>
      </c>
      <c r="F196" s="54">
        <f>SUM(F193:F195)</f>
        <v>32.660000000000004</v>
      </c>
      <c r="G196" s="54">
        <f>SUM(G193:G195)</f>
        <v>270</v>
      </c>
      <c r="H196" s="54">
        <f>SUM(H193:H195)</f>
        <v>1.78</v>
      </c>
      <c r="I196" s="55"/>
    </row>
    <row r="197" spans="1:9">
      <c r="A197" s="39"/>
      <c r="B197" s="145" t="s">
        <v>19</v>
      </c>
      <c r="C197" s="146"/>
      <c r="D197" s="146"/>
      <c r="E197" s="146"/>
      <c r="F197" s="146"/>
      <c r="G197" s="146"/>
      <c r="H197" s="146"/>
      <c r="I197" s="147"/>
    </row>
    <row r="198" spans="1:9" ht="141.75" customHeight="1">
      <c r="A198" s="14" t="s">
        <v>20</v>
      </c>
      <c r="B198" s="30" t="s">
        <v>21</v>
      </c>
      <c r="C198" s="77" t="s">
        <v>22</v>
      </c>
      <c r="D198" s="54">
        <v>0.2</v>
      </c>
      <c r="E198" s="54">
        <v>0.1</v>
      </c>
      <c r="F198" s="54">
        <v>10.1</v>
      </c>
      <c r="G198" s="54">
        <v>46</v>
      </c>
      <c r="H198" s="54">
        <v>2</v>
      </c>
      <c r="I198" s="55" t="s">
        <v>20</v>
      </c>
    </row>
    <row r="199" spans="1:9">
      <c r="A199" s="14"/>
      <c r="B199" s="30" t="s">
        <v>17</v>
      </c>
      <c r="C199" s="53" t="str">
        <f>C198</f>
        <v>100</v>
      </c>
      <c r="D199" s="54">
        <f>SUM(D198)</f>
        <v>0.2</v>
      </c>
      <c r="E199" s="54">
        <f>SUM(E198)</f>
        <v>0.1</v>
      </c>
      <c r="F199" s="54">
        <f>SUM(F198)</f>
        <v>10.1</v>
      </c>
      <c r="G199" s="54">
        <f>SUM(G198)</f>
        <v>46</v>
      </c>
      <c r="H199" s="54">
        <f>SUM(H198)</f>
        <v>2</v>
      </c>
      <c r="I199" s="55"/>
    </row>
    <row r="200" spans="1:9">
      <c r="A200" s="39"/>
      <c r="B200" s="145" t="s">
        <v>24</v>
      </c>
      <c r="C200" s="146"/>
      <c r="D200" s="146"/>
      <c r="E200" s="146"/>
      <c r="F200" s="146"/>
      <c r="G200" s="146"/>
      <c r="H200" s="146"/>
      <c r="I200" s="147"/>
    </row>
    <row r="201" spans="1:9" ht="141.75" customHeight="1">
      <c r="A201" s="14">
        <v>33</v>
      </c>
      <c r="B201" s="78" t="s">
        <v>59</v>
      </c>
      <c r="C201" s="77" t="s">
        <v>26</v>
      </c>
      <c r="D201" s="54">
        <v>0.69</v>
      </c>
      <c r="E201" s="54">
        <v>3.46</v>
      </c>
      <c r="F201" s="54">
        <v>3.76</v>
      </c>
      <c r="G201" s="54">
        <v>49.14</v>
      </c>
      <c r="H201" s="54">
        <v>3.38</v>
      </c>
      <c r="I201" s="59">
        <v>18</v>
      </c>
    </row>
    <row r="202" spans="1:9" ht="210.6">
      <c r="A202" s="14"/>
      <c r="B202" s="30" t="s">
        <v>60</v>
      </c>
      <c r="C202" s="77" t="s">
        <v>61</v>
      </c>
      <c r="D202" s="54">
        <v>5.08</v>
      </c>
      <c r="E202" s="54">
        <v>4.58</v>
      </c>
      <c r="F202" s="54">
        <v>3.07</v>
      </c>
      <c r="G202" s="54">
        <v>77</v>
      </c>
      <c r="H202" s="54">
        <v>14.87</v>
      </c>
      <c r="I202" s="55">
        <v>34</v>
      </c>
    </row>
    <row r="203" spans="1:9" ht="140.4">
      <c r="A203" s="14">
        <v>71</v>
      </c>
      <c r="B203" s="30" t="s">
        <v>114</v>
      </c>
      <c r="C203" s="25" t="s">
        <v>108</v>
      </c>
      <c r="D203" s="54">
        <v>10.11</v>
      </c>
      <c r="E203" s="54">
        <v>7.19</v>
      </c>
      <c r="F203" s="54">
        <v>1.52</v>
      </c>
      <c r="G203" s="54">
        <v>73.23</v>
      </c>
      <c r="H203" s="54">
        <v>0.94</v>
      </c>
      <c r="I203" s="59">
        <v>40</v>
      </c>
    </row>
    <row r="204" spans="1:9">
      <c r="A204" s="14">
        <v>63</v>
      </c>
      <c r="B204" s="30" t="s">
        <v>115</v>
      </c>
      <c r="C204" s="53">
        <v>120</v>
      </c>
      <c r="D204" s="54">
        <v>0.55000000000000004</v>
      </c>
      <c r="E204" s="54">
        <v>0</v>
      </c>
      <c r="F204" s="54">
        <v>22.62</v>
      </c>
      <c r="G204" s="54">
        <v>96</v>
      </c>
      <c r="H204" s="54">
        <v>0.5</v>
      </c>
      <c r="I204" s="59">
        <v>8</v>
      </c>
    </row>
    <row r="205" spans="1:9">
      <c r="A205" s="14">
        <v>36</v>
      </c>
      <c r="B205" s="30" t="s">
        <v>116</v>
      </c>
      <c r="C205" s="53">
        <v>180</v>
      </c>
      <c r="D205" s="54">
        <v>0.14000000000000001</v>
      </c>
      <c r="E205" s="54">
        <v>0.14000000000000001</v>
      </c>
      <c r="F205" s="54">
        <v>9.52</v>
      </c>
      <c r="G205" s="54">
        <v>41</v>
      </c>
      <c r="H205" s="54">
        <v>3.6</v>
      </c>
      <c r="I205" s="55">
        <v>54</v>
      </c>
    </row>
    <row r="206" spans="1:9" s="48" customFormat="1">
      <c r="A206" s="14" t="s">
        <v>20</v>
      </c>
      <c r="B206" s="30" t="s">
        <v>32</v>
      </c>
      <c r="C206" s="53">
        <v>20</v>
      </c>
      <c r="D206" s="54">
        <v>1.52</v>
      </c>
      <c r="E206" s="54">
        <v>0.16</v>
      </c>
      <c r="F206" s="54">
        <v>9.84</v>
      </c>
      <c r="G206" s="54">
        <v>47</v>
      </c>
      <c r="H206" s="54">
        <v>0</v>
      </c>
      <c r="I206" s="55" t="s">
        <v>20</v>
      </c>
    </row>
    <row r="207" spans="1:9" s="48" customFormat="1">
      <c r="A207" s="14" t="s">
        <v>20</v>
      </c>
      <c r="B207" s="30" t="s">
        <v>33</v>
      </c>
      <c r="C207" s="53">
        <v>40</v>
      </c>
      <c r="D207" s="54">
        <v>2.64</v>
      </c>
      <c r="E207" s="54">
        <v>0.48</v>
      </c>
      <c r="F207" s="54">
        <v>13.6</v>
      </c>
      <c r="G207" s="54">
        <v>72.400000000000006</v>
      </c>
      <c r="H207" s="54">
        <v>0</v>
      </c>
      <c r="I207" s="55" t="s">
        <v>20</v>
      </c>
    </row>
    <row r="208" spans="1:9">
      <c r="A208" s="27"/>
      <c r="B208" s="58" t="s">
        <v>34</v>
      </c>
      <c r="C208" s="53">
        <v>603</v>
      </c>
      <c r="D208" s="79">
        <f>SUM(D201:D207)</f>
        <v>20.73</v>
      </c>
      <c r="E208" s="79">
        <f>SUM(E201:E207)</f>
        <v>16.010000000000002</v>
      </c>
      <c r="F208" s="79">
        <f>SUM(F201:F207)</f>
        <v>63.93</v>
      </c>
      <c r="G208" s="79">
        <f>SUM(G201:G207)</f>
        <v>455.77</v>
      </c>
      <c r="H208" s="79">
        <f>SUM(H201:H207)</f>
        <v>23.290000000000003</v>
      </c>
      <c r="I208" s="59"/>
    </row>
    <row r="209" spans="1:9">
      <c r="A209" s="14"/>
      <c r="B209" s="148" t="s">
        <v>35</v>
      </c>
      <c r="C209" s="149"/>
      <c r="D209" s="149"/>
      <c r="E209" s="149"/>
      <c r="F209" s="149"/>
      <c r="G209" s="149"/>
      <c r="H209" s="149"/>
      <c r="I209" s="150"/>
    </row>
    <row r="210" spans="1:9" ht="212.25" customHeight="1">
      <c r="A210" s="14"/>
      <c r="B210" s="30" t="s">
        <v>36</v>
      </c>
      <c r="C210" s="25" t="s">
        <v>67</v>
      </c>
      <c r="D210" s="54">
        <v>0.9</v>
      </c>
      <c r="E210" s="54">
        <v>1.2</v>
      </c>
      <c r="F210" s="54">
        <v>6.54</v>
      </c>
      <c r="G210" s="54">
        <v>76.349999999999994</v>
      </c>
      <c r="H210" s="54">
        <v>0</v>
      </c>
      <c r="I210" s="55" t="s">
        <v>20</v>
      </c>
    </row>
    <row r="211" spans="1:9" ht="140.4">
      <c r="A211" s="14"/>
      <c r="B211" s="30" t="s">
        <v>38</v>
      </c>
      <c r="C211" s="25" t="s">
        <v>39</v>
      </c>
      <c r="D211" s="54">
        <v>5.22</v>
      </c>
      <c r="E211" s="54">
        <v>4.5</v>
      </c>
      <c r="F211" s="54">
        <v>7.2</v>
      </c>
      <c r="G211" s="54">
        <v>95.4</v>
      </c>
      <c r="H211" s="54">
        <v>1.26</v>
      </c>
      <c r="I211" s="55" t="s">
        <v>40</v>
      </c>
    </row>
    <row r="212" spans="1:9">
      <c r="A212" s="14"/>
      <c r="B212" s="30" t="s">
        <v>34</v>
      </c>
      <c r="C212" s="57">
        <f t="shared" ref="C212:H212" si="15">C210+C211</f>
        <v>210</v>
      </c>
      <c r="D212" s="54">
        <f t="shared" si="15"/>
        <v>6.12</v>
      </c>
      <c r="E212" s="54">
        <f t="shared" si="15"/>
        <v>5.7</v>
      </c>
      <c r="F212" s="54">
        <f t="shared" si="15"/>
        <v>13.74</v>
      </c>
      <c r="G212" s="54">
        <f t="shared" si="15"/>
        <v>171.75</v>
      </c>
      <c r="H212" s="54">
        <f t="shared" si="15"/>
        <v>1.26</v>
      </c>
      <c r="I212" s="54"/>
    </row>
    <row r="213" spans="1:9">
      <c r="A213" s="6"/>
      <c r="B213" s="148" t="s">
        <v>41</v>
      </c>
      <c r="C213" s="149"/>
      <c r="D213" s="149"/>
      <c r="E213" s="149"/>
      <c r="F213" s="149"/>
      <c r="G213" s="149"/>
      <c r="H213" s="149"/>
      <c r="I213" s="150"/>
    </row>
    <row r="214" spans="1:9" ht="212.25" customHeight="1">
      <c r="A214" s="14"/>
      <c r="B214" s="30" t="s">
        <v>117</v>
      </c>
      <c r="C214" s="25" t="s">
        <v>118</v>
      </c>
      <c r="D214" s="54">
        <v>16</v>
      </c>
      <c r="E214" s="54">
        <v>14.11</v>
      </c>
      <c r="F214" s="54">
        <v>42.87</v>
      </c>
      <c r="G214" s="54">
        <f>D214*4+E214*9+F214*4</f>
        <v>362.47</v>
      </c>
      <c r="H214" s="54">
        <v>0.44</v>
      </c>
      <c r="I214" s="59">
        <v>55</v>
      </c>
    </row>
    <row r="215" spans="1:9" ht="280.8">
      <c r="A215" s="14"/>
      <c r="B215" s="30" t="s">
        <v>44</v>
      </c>
      <c r="C215" s="25" t="s">
        <v>57</v>
      </c>
      <c r="D215" s="54">
        <v>1.2</v>
      </c>
      <c r="E215" s="54">
        <v>0.4</v>
      </c>
      <c r="F215" s="54">
        <v>16.8</v>
      </c>
      <c r="G215" s="54">
        <v>76.8</v>
      </c>
      <c r="H215" s="54">
        <v>8</v>
      </c>
      <c r="I215" s="55">
        <v>76</v>
      </c>
    </row>
    <row r="216" spans="1:9">
      <c r="A216" s="14">
        <v>2</v>
      </c>
      <c r="B216" s="58" t="s">
        <v>86</v>
      </c>
      <c r="C216" s="53">
        <v>180</v>
      </c>
      <c r="D216" s="79">
        <v>1.3</v>
      </c>
      <c r="E216" s="79">
        <v>1.1200000000000001</v>
      </c>
      <c r="F216" s="79">
        <v>8.15</v>
      </c>
      <c r="G216" s="79">
        <v>48</v>
      </c>
      <c r="H216" s="79">
        <v>0.57999999999999996</v>
      </c>
      <c r="I216" s="80">
        <v>59</v>
      </c>
    </row>
    <row r="217" spans="1:9">
      <c r="A217" s="33"/>
      <c r="B217" s="30" t="s">
        <v>17</v>
      </c>
      <c r="C217" s="53">
        <f t="shared" ref="C217:H217" si="16">C214+C215+C216</f>
        <v>420</v>
      </c>
      <c r="D217" s="54">
        <f t="shared" si="16"/>
        <v>18.5</v>
      </c>
      <c r="E217" s="54">
        <f t="shared" si="16"/>
        <v>15.629999999999999</v>
      </c>
      <c r="F217" s="54">
        <f t="shared" si="16"/>
        <v>67.820000000000007</v>
      </c>
      <c r="G217" s="54">
        <f t="shared" si="16"/>
        <v>487.27000000000004</v>
      </c>
      <c r="H217" s="54">
        <f t="shared" si="16"/>
        <v>9.02</v>
      </c>
      <c r="I217" s="56"/>
    </row>
    <row r="218" spans="1:9">
      <c r="A218" s="14"/>
      <c r="B218" s="30"/>
      <c r="C218" s="25"/>
      <c r="D218" s="60" t="s">
        <v>7</v>
      </c>
      <c r="E218" s="61" t="s">
        <v>8</v>
      </c>
      <c r="F218" s="61" t="s">
        <v>9</v>
      </c>
      <c r="G218" s="62" t="s">
        <v>46</v>
      </c>
      <c r="H218" s="61" t="s">
        <v>47</v>
      </c>
      <c r="I218" s="55"/>
    </row>
    <row r="219" spans="1:9">
      <c r="A219" s="14"/>
      <c r="B219" s="63" t="s">
        <v>119</v>
      </c>
      <c r="C219" s="25"/>
      <c r="D219" s="54">
        <f>SUM(D196+D199+D208+D217+D212)</f>
        <v>53.769999999999996</v>
      </c>
      <c r="E219" s="54">
        <f>SUM(E196+E199+E208+E217+E212)</f>
        <v>49.25</v>
      </c>
      <c r="F219" s="54">
        <f>SUM(F196+F199+F208+F217+F212)</f>
        <v>188.25</v>
      </c>
      <c r="G219" s="54">
        <f>SUM(G196+G199+G208+G217+G212)</f>
        <v>1430.79</v>
      </c>
      <c r="H219" s="54">
        <f>SUM(H196+H199+H208+H217+H212)</f>
        <v>37.35</v>
      </c>
      <c r="I219" s="55"/>
    </row>
    <row r="220" spans="1:9">
      <c r="A220" s="14"/>
      <c r="B220" s="63" t="s">
        <v>49</v>
      </c>
      <c r="C220" s="25"/>
      <c r="D220" s="54">
        <v>42</v>
      </c>
      <c r="E220" s="54">
        <v>47</v>
      </c>
      <c r="F220" s="54">
        <v>203</v>
      </c>
      <c r="G220" s="54">
        <v>1400</v>
      </c>
      <c r="H220" s="54">
        <v>45</v>
      </c>
      <c r="I220" s="55"/>
    </row>
    <row r="221" spans="1:9" ht="139.19999999999999">
      <c r="A221" s="33"/>
      <c r="B221" s="64" t="s">
        <v>50</v>
      </c>
      <c r="C221" s="61"/>
      <c r="D221" s="65">
        <f>D219*100/D220</f>
        <v>128.02380952380952</v>
      </c>
      <c r="E221" s="65">
        <f>E219*100/E220</f>
        <v>104.78723404255319</v>
      </c>
      <c r="F221" s="65">
        <f>F219*100/F220</f>
        <v>92.733990147783246</v>
      </c>
      <c r="G221" s="65">
        <f>G219*100/G220</f>
        <v>102.19928571428571</v>
      </c>
      <c r="H221" s="65">
        <f>H219*100/H220</f>
        <v>83</v>
      </c>
      <c r="I221" s="56"/>
    </row>
    <row r="222" spans="1:9">
      <c r="A222" s="35"/>
      <c r="B222" s="67"/>
      <c r="C222" s="68"/>
      <c r="D222" s="69"/>
      <c r="E222" s="69"/>
      <c r="F222" s="69"/>
      <c r="G222" s="69"/>
      <c r="H222" s="69"/>
      <c r="I222" s="70"/>
    </row>
    <row r="223" spans="1:9">
      <c r="A223" s="35"/>
      <c r="B223" s="71" t="s">
        <v>51</v>
      </c>
      <c r="C223" s="71"/>
      <c r="D223" s="71"/>
      <c r="E223" s="69"/>
      <c r="F223" s="69"/>
      <c r="G223" s="69"/>
      <c r="H223" s="69"/>
      <c r="I223" s="70"/>
    </row>
    <row r="224" spans="1:9">
      <c r="A224" s="35"/>
      <c r="B224" s="71" t="s">
        <v>52</v>
      </c>
      <c r="C224" s="72"/>
      <c r="D224" s="71"/>
      <c r="E224" s="71"/>
      <c r="F224" s="71"/>
      <c r="G224" s="71"/>
      <c r="H224" s="71"/>
      <c r="I224" s="70"/>
    </row>
    <row r="225" spans="1:9">
      <c r="A225" s="152" t="s">
        <v>0</v>
      </c>
      <c r="B225" s="145" t="s">
        <v>1</v>
      </c>
      <c r="C225" s="143" t="s">
        <v>2</v>
      </c>
      <c r="D225" s="145" t="s">
        <v>3</v>
      </c>
      <c r="E225" s="146"/>
      <c r="F225" s="147"/>
      <c r="G225" s="145" t="s">
        <v>4</v>
      </c>
      <c r="H225" s="145" t="s">
        <v>5</v>
      </c>
      <c r="I225" s="141" t="s">
        <v>6</v>
      </c>
    </row>
    <row r="226" spans="1:9" ht="71.25" customHeight="1">
      <c r="A226" s="153"/>
      <c r="B226" s="151"/>
      <c r="C226" s="144"/>
      <c r="D226" s="60" t="s">
        <v>7</v>
      </c>
      <c r="E226" s="61" t="s">
        <v>8</v>
      </c>
      <c r="F226" s="61" t="s">
        <v>9</v>
      </c>
      <c r="G226" s="151"/>
      <c r="H226" s="151"/>
      <c r="I226" s="142"/>
    </row>
    <row r="227" spans="1:9">
      <c r="A227" s="49"/>
      <c r="B227" s="73" t="s">
        <v>120</v>
      </c>
      <c r="C227" s="74"/>
      <c r="D227" s="74"/>
      <c r="E227" s="74"/>
      <c r="F227" s="74"/>
      <c r="G227" s="74"/>
      <c r="H227" s="74"/>
      <c r="I227" s="81"/>
    </row>
    <row r="228" spans="1:9">
      <c r="A228" s="49"/>
      <c r="B228" s="145" t="s">
        <v>11</v>
      </c>
      <c r="C228" s="146"/>
      <c r="D228" s="146"/>
      <c r="E228" s="146"/>
      <c r="F228" s="146"/>
      <c r="G228" s="146"/>
      <c r="H228" s="146"/>
      <c r="I228" s="147"/>
    </row>
    <row r="229" spans="1:9" ht="141.75" customHeight="1">
      <c r="A229" s="27">
        <v>50</v>
      </c>
      <c r="B229" s="58" t="s">
        <v>121</v>
      </c>
      <c r="C229" s="53">
        <v>150</v>
      </c>
      <c r="D229" s="79">
        <v>4.46</v>
      </c>
      <c r="E229" s="79">
        <v>5.24</v>
      </c>
      <c r="F229" s="79">
        <v>20.9</v>
      </c>
      <c r="G229" s="79">
        <v>148</v>
      </c>
      <c r="H229" s="79">
        <v>1.47</v>
      </c>
      <c r="I229" s="59">
        <v>50</v>
      </c>
    </row>
    <row r="230" spans="1:9">
      <c r="A230" s="14"/>
      <c r="B230" s="58" t="s">
        <v>14</v>
      </c>
      <c r="C230" s="53">
        <v>180</v>
      </c>
      <c r="D230" s="54">
        <v>0</v>
      </c>
      <c r="E230" s="54">
        <v>0</v>
      </c>
      <c r="F230" s="54">
        <v>6.05</v>
      </c>
      <c r="G230" s="54">
        <v>25</v>
      </c>
      <c r="H230" s="54">
        <v>0</v>
      </c>
      <c r="I230" s="59">
        <v>13</v>
      </c>
    </row>
    <row r="231" spans="1:9" ht="140.4">
      <c r="A231" s="14">
        <v>3</v>
      </c>
      <c r="B231" s="30" t="s">
        <v>122</v>
      </c>
      <c r="C231" s="25" t="s">
        <v>123</v>
      </c>
      <c r="D231" s="54">
        <v>2.2400000000000002</v>
      </c>
      <c r="E231" s="54">
        <v>1.01</v>
      </c>
      <c r="F231" s="54">
        <v>15.39</v>
      </c>
      <c r="G231" s="54">
        <v>80</v>
      </c>
      <c r="H231" s="54">
        <v>0.1</v>
      </c>
      <c r="I231" s="55">
        <v>90</v>
      </c>
    </row>
    <row r="232" spans="1:9">
      <c r="A232" s="14"/>
      <c r="B232" s="30" t="s">
        <v>17</v>
      </c>
      <c r="C232" s="25" t="s">
        <v>124</v>
      </c>
      <c r="D232" s="54">
        <f>D229+D230+D231</f>
        <v>6.7</v>
      </c>
      <c r="E232" s="54">
        <f>E229+E230+E231</f>
        <v>6.25</v>
      </c>
      <c r="F232" s="54">
        <f>F229+F230+F231</f>
        <v>42.34</v>
      </c>
      <c r="G232" s="54">
        <f>G229+G230+G231</f>
        <v>253</v>
      </c>
      <c r="H232" s="54">
        <f>H229+H230+H231</f>
        <v>1.57</v>
      </c>
      <c r="I232" s="55"/>
    </row>
    <row r="233" spans="1:9">
      <c r="A233" s="39"/>
      <c r="B233" s="145" t="s">
        <v>19</v>
      </c>
      <c r="C233" s="146"/>
      <c r="D233" s="146"/>
      <c r="E233" s="146"/>
      <c r="F233" s="146"/>
      <c r="G233" s="146"/>
      <c r="H233" s="146"/>
      <c r="I233" s="147"/>
    </row>
    <row r="234" spans="1:9" ht="141.75" customHeight="1">
      <c r="A234" s="14" t="s">
        <v>20</v>
      </c>
      <c r="B234" s="30" t="s">
        <v>21</v>
      </c>
      <c r="C234" s="77" t="s">
        <v>22</v>
      </c>
      <c r="D234" s="54">
        <v>0.2</v>
      </c>
      <c r="E234" s="54">
        <v>0.1</v>
      </c>
      <c r="F234" s="54">
        <v>10.1</v>
      </c>
      <c r="G234" s="54">
        <v>46</v>
      </c>
      <c r="H234" s="54">
        <v>2</v>
      </c>
      <c r="I234" s="55" t="s">
        <v>20</v>
      </c>
    </row>
    <row r="235" spans="1:9">
      <c r="A235" s="14"/>
      <c r="B235" s="30" t="s">
        <v>17</v>
      </c>
      <c r="C235" s="53" t="str">
        <f>C234</f>
        <v>100</v>
      </c>
      <c r="D235" s="54">
        <f>SUM(D234)</f>
        <v>0.2</v>
      </c>
      <c r="E235" s="54">
        <f>SUM(E234)</f>
        <v>0.1</v>
      </c>
      <c r="F235" s="54">
        <f>SUM(F234)</f>
        <v>10.1</v>
      </c>
      <c r="G235" s="54">
        <f>SUM(G234)</f>
        <v>46</v>
      </c>
      <c r="H235" s="54">
        <f>SUM(H234)</f>
        <v>2</v>
      </c>
      <c r="I235" s="55"/>
    </row>
    <row r="236" spans="1:9">
      <c r="A236" s="39"/>
      <c r="B236" s="145" t="s">
        <v>24</v>
      </c>
      <c r="C236" s="146"/>
      <c r="D236" s="146"/>
      <c r="E236" s="146"/>
      <c r="F236" s="146"/>
      <c r="G236" s="146"/>
      <c r="H236" s="146"/>
      <c r="I236" s="147"/>
    </row>
    <row r="237" spans="1:9" ht="71.25" customHeight="1">
      <c r="A237" s="14">
        <v>24</v>
      </c>
      <c r="B237" s="30" t="s">
        <v>125</v>
      </c>
      <c r="C237" s="77" t="s">
        <v>26</v>
      </c>
      <c r="D237" s="54">
        <v>1.91</v>
      </c>
      <c r="E237" s="54">
        <v>3.73</v>
      </c>
      <c r="F237" s="54">
        <v>2.15</v>
      </c>
      <c r="G237" s="54">
        <v>50.67</v>
      </c>
      <c r="H237" s="54">
        <v>2.93</v>
      </c>
      <c r="I237" s="59">
        <v>86</v>
      </c>
    </row>
    <row r="238" spans="1:9" ht="140.4">
      <c r="A238" s="14">
        <v>41</v>
      </c>
      <c r="B238" s="30" t="s">
        <v>126</v>
      </c>
      <c r="C238" s="25" t="s">
        <v>95</v>
      </c>
      <c r="D238" s="54">
        <v>2.5</v>
      </c>
      <c r="E238" s="54">
        <v>3.63</v>
      </c>
      <c r="F238" s="54">
        <v>11.84</v>
      </c>
      <c r="G238" s="54">
        <v>86.67</v>
      </c>
      <c r="H238" s="54">
        <v>4.74</v>
      </c>
      <c r="I238" s="55">
        <v>52</v>
      </c>
    </row>
    <row r="239" spans="1:9">
      <c r="A239" s="14">
        <v>53</v>
      </c>
      <c r="B239" s="30" t="s">
        <v>29</v>
      </c>
      <c r="C239" s="25" t="s">
        <v>30</v>
      </c>
      <c r="D239" s="54">
        <v>14.25</v>
      </c>
      <c r="E239" s="54">
        <v>10.029999999999999</v>
      </c>
      <c r="F239" s="54">
        <v>14.66</v>
      </c>
      <c r="G239" s="54">
        <v>210</v>
      </c>
      <c r="H239" s="54">
        <v>8.32</v>
      </c>
      <c r="I239" s="55">
        <v>19</v>
      </c>
    </row>
    <row r="240" spans="1:9">
      <c r="A240" s="14">
        <v>9</v>
      </c>
      <c r="B240" s="30" t="s">
        <v>31</v>
      </c>
      <c r="C240" s="53">
        <v>150</v>
      </c>
      <c r="D240" s="54">
        <v>0.11</v>
      </c>
      <c r="E240" s="54">
        <v>7.0000000000000007E-2</v>
      </c>
      <c r="F240" s="54">
        <v>11.79</v>
      </c>
      <c r="G240" s="54">
        <v>50</v>
      </c>
      <c r="H240" s="54">
        <v>2.25</v>
      </c>
      <c r="I240" s="55">
        <v>20</v>
      </c>
    </row>
    <row r="241" spans="1:9">
      <c r="A241" s="14" t="s">
        <v>20</v>
      </c>
      <c r="B241" s="30" t="s">
        <v>32</v>
      </c>
      <c r="C241" s="53">
        <v>20</v>
      </c>
      <c r="D241" s="54">
        <v>1.52</v>
      </c>
      <c r="E241" s="54">
        <v>0.16</v>
      </c>
      <c r="F241" s="54">
        <v>9.84</v>
      </c>
      <c r="G241" s="54">
        <v>47</v>
      </c>
      <c r="H241" s="54">
        <v>0</v>
      </c>
      <c r="I241" s="55" t="s">
        <v>20</v>
      </c>
    </row>
    <row r="242" spans="1:9">
      <c r="A242" s="14" t="s">
        <v>20</v>
      </c>
      <c r="B242" s="30" t="s">
        <v>33</v>
      </c>
      <c r="C242" s="53">
        <v>40</v>
      </c>
      <c r="D242" s="54">
        <v>2.64</v>
      </c>
      <c r="E242" s="54">
        <v>0.48</v>
      </c>
      <c r="F242" s="54">
        <v>13.6</v>
      </c>
      <c r="G242" s="54">
        <v>72.400000000000006</v>
      </c>
      <c r="H242" s="54">
        <v>0</v>
      </c>
      <c r="I242" s="55" t="s">
        <v>20</v>
      </c>
    </row>
    <row r="243" spans="1:9">
      <c r="A243" s="27"/>
      <c r="B243" s="58" t="s">
        <v>34</v>
      </c>
      <c r="C243" s="53">
        <v>581</v>
      </c>
      <c r="D243" s="79">
        <f>SUM(D237:D242)</f>
        <v>22.93</v>
      </c>
      <c r="E243" s="79">
        <f>SUM(E237:E242)</f>
        <v>18.100000000000001</v>
      </c>
      <c r="F243" s="79">
        <f>SUM(F237:F242)</f>
        <v>63.88</v>
      </c>
      <c r="G243" s="79">
        <f>SUM(G237:G242)</f>
        <v>516.74</v>
      </c>
      <c r="H243" s="79">
        <f>SUM(H237:H242)</f>
        <v>18.240000000000002</v>
      </c>
      <c r="I243" s="59"/>
    </row>
    <row r="244" spans="1:9">
      <c r="A244" s="27"/>
      <c r="B244" s="148" t="s">
        <v>35</v>
      </c>
      <c r="C244" s="149"/>
      <c r="D244" s="149"/>
      <c r="E244" s="149"/>
      <c r="F244" s="149"/>
      <c r="G244" s="149"/>
      <c r="H244" s="149"/>
      <c r="I244" s="150"/>
    </row>
    <row r="245" spans="1:9" ht="71.25" customHeight="1">
      <c r="A245" s="27"/>
      <c r="B245" s="30" t="s">
        <v>127</v>
      </c>
      <c r="C245" s="25" t="s">
        <v>108</v>
      </c>
      <c r="D245" s="54">
        <v>5.6</v>
      </c>
      <c r="E245" s="54">
        <v>11.58</v>
      </c>
      <c r="F245" s="54">
        <v>34.15</v>
      </c>
      <c r="G245" s="54">
        <v>278</v>
      </c>
      <c r="H245" s="54">
        <v>0.03</v>
      </c>
      <c r="I245" s="55">
        <v>17</v>
      </c>
    </row>
    <row r="246" spans="1:9" ht="140.4">
      <c r="A246" s="27"/>
      <c r="B246" s="30" t="s">
        <v>38</v>
      </c>
      <c r="C246" s="25" t="s">
        <v>39</v>
      </c>
      <c r="D246" s="54">
        <v>5.22</v>
      </c>
      <c r="E246" s="54">
        <v>4.5</v>
      </c>
      <c r="F246" s="54">
        <v>7.2</v>
      </c>
      <c r="G246" s="54">
        <v>95.4</v>
      </c>
      <c r="H246" s="54">
        <v>1.26</v>
      </c>
      <c r="I246" s="55" t="s">
        <v>40</v>
      </c>
    </row>
    <row r="247" spans="1:9">
      <c r="A247" s="27"/>
      <c r="B247" s="30" t="s">
        <v>34</v>
      </c>
      <c r="C247" s="57">
        <f t="shared" ref="C247:H247" si="17">C245+C246</f>
        <v>250</v>
      </c>
      <c r="D247" s="54">
        <f t="shared" si="17"/>
        <v>10.82</v>
      </c>
      <c r="E247" s="54">
        <f t="shared" si="17"/>
        <v>16.079999999999998</v>
      </c>
      <c r="F247" s="54">
        <f t="shared" si="17"/>
        <v>41.35</v>
      </c>
      <c r="G247" s="54">
        <f t="shared" si="17"/>
        <v>373.4</v>
      </c>
      <c r="H247" s="54">
        <f t="shared" si="17"/>
        <v>1.29</v>
      </c>
      <c r="I247" s="54"/>
    </row>
    <row r="248" spans="1:9">
      <c r="A248" s="33"/>
      <c r="B248" s="148" t="s">
        <v>41</v>
      </c>
      <c r="C248" s="149"/>
      <c r="D248" s="149"/>
      <c r="E248" s="149"/>
      <c r="F248" s="149"/>
      <c r="G248" s="149"/>
      <c r="H248" s="149"/>
      <c r="I248" s="150"/>
    </row>
    <row r="249" spans="1:9" ht="141.75" customHeight="1">
      <c r="A249" s="27"/>
      <c r="B249" s="30" t="s">
        <v>128</v>
      </c>
      <c r="C249" s="82">
        <v>200</v>
      </c>
      <c r="D249" s="54">
        <v>4.24</v>
      </c>
      <c r="E249" s="54">
        <v>5.2</v>
      </c>
      <c r="F249" s="54">
        <v>20.239999999999998</v>
      </c>
      <c r="G249" s="54">
        <v>112.8</v>
      </c>
      <c r="H249" s="54">
        <v>9.64</v>
      </c>
      <c r="I249" s="55">
        <v>67</v>
      </c>
    </row>
    <row r="250" spans="1:9">
      <c r="A250" s="27"/>
      <c r="B250" s="30" t="s">
        <v>32</v>
      </c>
      <c r="C250" s="53">
        <v>20</v>
      </c>
      <c r="D250" s="54">
        <v>1.52</v>
      </c>
      <c r="E250" s="54">
        <v>0.16</v>
      </c>
      <c r="F250" s="54">
        <v>9.84</v>
      </c>
      <c r="G250" s="54">
        <v>47</v>
      </c>
      <c r="H250" s="54">
        <v>0</v>
      </c>
      <c r="I250" s="55" t="s">
        <v>20</v>
      </c>
    </row>
    <row r="251" spans="1:9" ht="280.8">
      <c r="A251" s="27"/>
      <c r="B251" s="30" t="s">
        <v>44</v>
      </c>
      <c r="C251" s="25" t="s">
        <v>57</v>
      </c>
      <c r="D251" s="54">
        <v>1.2</v>
      </c>
      <c r="E251" s="54">
        <v>0.4</v>
      </c>
      <c r="F251" s="54">
        <v>16.8</v>
      </c>
      <c r="G251" s="54">
        <v>76.8</v>
      </c>
      <c r="H251" s="54">
        <v>8</v>
      </c>
      <c r="I251" s="55">
        <v>76</v>
      </c>
    </row>
    <row r="252" spans="1:9">
      <c r="A252" s="27">
        <v>13</v>
      </c>
      <c r="B252" s="30" t="s">
        <v>45</v>
      </c>
      <c r="C252" s="53">
        <v>180</v>
      </c>
      <c r="D252" s="54">
        <v>2.3199999999999998</v>
      </c>
      <c r="E252" s="54">
        <v>1.93</v>
      </c>
      <c r="F252" s="54">
        <v>9.4700000000000006</v>
      </c>
      <c r="G252" s="54">
        <v>65</v>
      </c>
      <c r="H252" s="54">
        <v>0.91</v>
      </c>
      <c r="I252" s="55">
        <v>15</v>
      </c>
    </row>
    <row r="253" spans="1:9">
      <c r="A253" s="33"/>
      <c r="B253" s="30" t="s">
        <v>17</v>
      </c>
      <c r="C253" s="53">
        <f t="shared" ref="C253:H253" si="18">C249+C250+C251+C252</f>
        <v>480</v>
      </c>
      <c r="D253" s="54">
        <f t="shared" si="18"/>
        <v>9.2799999999999994</v>
      </c>
      <c r="E253" s="54">
        <f t="shared" si="18"/>
        <v>7.69</v>
      </c>
      <c r="F253" s="54">
        <f t="shared" si="18"/>
        <v>56.349999999999994</v>
      </c>
      <c r="G253" s="54">
        <f t="shared" si="18"/>
        <v>301.60000000000002</v>
      </c>
      <c r="H253" s="54">
        <f t="shared" si="18"/>
        <v>18.55</v>
      </c>
      <c r="I253" s="56"/>
    </row>
    <row r="254" spans="1:9">
      <c r="A254" s="14"/>
      <c r="B254" s="30"/>
      <c r="C254" s="25"/>
      <c r="D254" s="60" t="s">
        <v>7</v>
      </c>
      <c r="E254" s="61" t="s">
        <v>8</v>
      </c>
      <c r="F254" s="61" t="s">
        <v>9</v>
      </c>
      <c r="G254" s="62" t="s">
        <v>46</v>
      </c>
      <c r="H254" s="61" t="s">
        <v>47</v>
      </c>
      <c r="I254" s="55"/>
    </row>
    <row r="255" spans="1:9">
      <c r="A255" s="14"/>
      <c r="B255" s="63" t="s">
        <v>129</v>
      </c>
      <c r="C255" s="25"/>
      <c r="D255" s="54">
        <f>D232+D235+D243+D253+D247</f>
        <v>49.93</v>
      </c>
      <c r="E255" s="54">
        <f>E232+E235+E243+E253+E247</f>
        <v>48.22</v>
      </c>
      <c r="F255" s="54">
        <f>F232+F235+F243+F253+F247</f>
        <v>214.02</v>
      </c>
      <c r="G255" s="54">
        <f>G232+G235+G243+G253+G247</f>
        <v>1490.7400000000002</v>
      </c>
      <c r="H255" s="54">
        <f>H232+H235+H243+H253+H247</f>
        <v>41.65</v>
      </c>
      <c r="I255" s="55"/>
    </row>
    <row r="256" spans="1:9">
      <c r="A256" s="14"/>
      <c r="B256" s="63" t="s">
        <v>49</v>
      </c>
      <c r="C256" s="25"/>
      <c r="D256" s="54">
        <v>42</v>
      </c>
      <c r="E256" s="54">
        <v>47</v>
      </c>
      <c r="F256" s="54">
        <v>203</v>
      </c>
      <c r="G256" s="54">
        <v>1400</v>
      </c>
      <c r="H256" s="54">
        <v>45</v>
      </c>
      <c r="I256" s="55"/>
    </row>
    <row r="257" spans="1:9" ht="139.19999999999999">
      <c r="A257" s="33"/>
      <c r="B257" s="64" t="s">
        <v>50</v>
      </c>
      <c r="C257" s="61"/>
      <c r="D257" s="54">
        <f>D255+D256</f>
        <v>91.93</v>
      </c>
      <c r="E257" s="65">
        <f>E255*100/E256</f>
        <v>102.59574468085107</v>
      </c>
      <c r="F257" s="65">
        <f>F255*100/F256</f>
        <v>105.42857142857143</v>
      </c>
      <c r="G257" s="65">
        <f>G255*100/G256</f>
        <v>106.48142857142859</v>
      </c>
      <c r="H257" s="65">
        <f>H255*100/H256</f>
        <v>92.555555555555557</v>
      </c>
      <c r="I257" s="56"/>
    </row>
    <row r="258" spans="1:9">
      <c r="A258" s="35"/>
      <c r="B258" s="67"/>
      <c r="C258" s="68"/>
      <c r="D258" s="69"/>
      <c r="E258" s="69"/>
      <c r="F258" s="69"/>
      <c r="G258" s="69"/>
      <c r="H258" s="69"/>
      <c r="I258" s="70"/>
    </row>
    <row r="259" spans="1:9">
      <c r="A259" s="35"/>
      <c r="B259" s="71" t="s">
        <v>51</v>
      </c>
      <c r="C259" s="71"/>
      <c r="D259" s="71"/>
      <c r="E259" s="69"/>
      <c r="F259" s="69"/>
      <c r="G259" s="69"/>
      <c r="H259" s="69"/>
      <c r="I259" s="70"/>
    </row>
    <row r="260" spans="1:9">
      <c r="A260" s="35"/>
      <c r="B260" s="71" t="s">
        <v>52</v>
      </c>
      <c r="C260" s="72"/>
      <c r="D260" s="71"/>
      <c r="E260" s="71"/>
      <c r="F260" s="71"/>
      <c r="G260" s="71"/>
      <c r="H260" s="71"/>
      <c r="I260" s="70"/>
    </row>
    <row r="261" spans="1:9">
      <c r="A261" s="35"/>
      <c r="B261" s="158" t="s">
        <v>130</v>
      </c>
      <c r="C261" s="159"/>
      <c r="D261" s="159"/>
      <c r="E261" s="159"/>
      <c r="F261" s="159"/>
      <c r="G261" s="159"/>
      <c r="H261" s="159"/>
      <c r="I261" s="160"/>
    </row>
    <row r="262" spans="1:9" ht="71.25" customHeight="1">
      <c r="A262" s="152" t="s">
        <v>0</v>
      </c>
      <c r="B262" s="145" t="s">
        <v>1</v>
      </c>
      <c r="C262" s="143" t="s">
        <v>2</v>
      </c>
      <c r="D262" s="145" t="s">
        <v>3</v>
      </c>
      <c r="E262" s="146"/>
      <c r="F262" s="147"/>
      <c r="G262" s="145" t="s">
        <v>4</v>
      </c>
      <c r="H262" s="145" t="s">
        <v>5</v>
      </c>
      <c r="I262" s="141" t="s">
        <v>6</v>
      </c>
    </row>
    <row r="263" spans="1:9" ht="71.25" customHeight="1">
      <c r="A263" s="153"/>
      <c r="B263" s="151"/>
      <c r="C263" s="144"/>
      <c r="D263" s="60" t="s">
        <v>7</v>
      </c>
      <c r="E263" s="61" t="s">
        <v>8</v>
      </c>
      <c r="F263" s="61" t="s">
        <v>9</v>
      </c>
      <c r="G263" s="151"/>
      <c r="H263" s="151"/>
      <c r="I263" s="142"/>
    </row>
    <row r="264" spans="1:9">
      <c r="A264" s="49"/>
      <c r="B264" s="73" t="s">
        <v>131</v>
      </c>
      <c r="C264" s="74"/>
      <c r="D264" s="74"/>
      <c r="E264" s="74"/>
      <c r="F264" s="74"/>
      <c r="G264" s="74"/>
      <c r="H264" s="74"/>
      <c r="I264" s="62"/>
    </row>
    <row r="265" spans="1:9">
      <c r="A265" s="49"/>
      <c r="B265" s="145" t="s">
        <v>11</v>
      </c>
      <c r="C265" s="146"/>
      <c r="D265" s="146"/>
      <c r="E265" s="146"/>
      <c r="F265" s="146"/>
      <c r="G265" s="146"/>
      <c r="H265" s="146"/>
      <c r="I265" s="147"/>
    </row>
    <row r="266" spans="1:9" ht="141.75" customHeight="1">
      <c r="A266" s="14"/>
      <c r="B266" s="58" t="s">
        <v>132</v>
      </c>
      <c r="C266" s="53">
        <v>150</v>
      </c>
      <c r="D266" s="79">
        <v>5.76</v>
      </c>
      <c r="E266" s="79">
        <v>5.81</v>
      </c>
      <c r="F266" s="79">
        <v>22.18</v>
      </c>
      <c r="G266" s="79">
        <v>164</v>
      </c>
      <c r="H266" s="79">
        <v>1.47</v>
      </c>
      <c r="I266" s="59">
        <v>45</v>
      </c>
    </row>
    <row r="267" spans="1:9">
      <c r="A267" s="14"/>
      <c r="B267" s="30" t="s">
        <v>73</v>
      </c>
      <c r="C267" s="53">
        <v>180</v>
      </c>
      <c r="D267" s="79">
        <v>2.35</v>
      </c>
      <c r="E267" s="79">
        <v>1.91</v>
      </c>
      <c r="F267" s="79">
        <v>9.51</v>
      </c>
      <c r="G267" s="79">
        <v>64</v>
      </c>
      <c r="H267" s="79">
        <v>0.91</v>
      </c>
      <c r="I267" s="55">
        <v>2</v>
      </c>
    </row>
    <row r="268" spans="1:9">
      <c r="A268" s="14">
        <v>16</v>
      </c>
      <c r="B268" s="30" t="s">
        <v>15</v>
      </c>
      <c r="C268" s="25" t="s">
        <v>16</v>
      </c>
      <c r="D268" s="54">
        <v>3.65</v>
      </c>
      <c r="E268" s="54">
        <v>6.38</v>
      </c>
      <c r="F268" s="54">
        <v>9.9</v>
      </c>
      <c r="G268" s="54">
        <v>112</v>
      </c>
      <c r="H268" s="54">
        <v>0.06</v>
      </c>
      <c r="I268" s="55">
        <v>3</v>
      </c>
    </row>
    <row r="269" spans="1:9">
      <c r="A269" s="14"/>
      <c r="B269" s="30" t="s">
        <v>17</v>
      </c>
      <c r="C269" s="25" t="s">
        <v>18</v>
      </c>
      <c r="D269" s="54">
        <f>SUM(D266:D268)</f>
        <v>11.76</v>
      </c>
      <c r="E269" s="54">
        <f>SUM(E266:E268)</f>
        <v>14.1</v>
      </c>
      <c r="F269" s="54">
        <f>SUM(F266:F268)</f>
        <v>41.589999999999996</v>
      </c>
      <c r="G269" s="54">
        <f>SUM(G266:G268)</f>
        <v>340</v>
      </c>
      <c r="H269" s="54">
        <f>SUM(H266:H268)</f>
        <v>2.44</v>
      </c>
      <c r="I269" s="55"/>
    </row>
    <row r="270" spans="1:9">
      <c r="A270" s="39"/>
      <c r="B270" s="145" t="s">
        <v>19</v>
      </c>
      <c r="C270" s="146"/>
      <c r="D270" s="146"/>
      <c r="E270" s="146"/>
      <c r="F270" s="146"/>
      <c r="G270" s="146"/>
      <c r="H270" s="146"/>
      <c r="I270" s="147"/>
    </row>
    <row r="271" spans="1:9" ht="141.75" customHeight="1">
      <c r="A271" s="14" t="s">
        <v>20</v>
      </c>
      <c r="B271" s="30" t="s">
        <v>21</v>
      </c>
      <c r="C271" s="77" t="s">
        <v>22</v>
      </c>
      <c r="D271" s="54">
        <v>0.2</v>
      </c>
      <c r="E271" s="54">
        <v>0.1</v>
      </c>
      <c r="F271" s="54">
        <v>10.1</v>
      </c>
      <c r="G271" s="54">
        <v>46</v>
      </c>
      <c r="H271" s="54">
        <v>2</v>
      </c>
      <c r="I271" s="55" t="s">
        <v>20</v>
      </c>
    </row>
    <row r="272" spans="1:9">
      <c r="A272" s="14"/>
      <c r="B272" s="30" t="s">
        <v>17</v>
      </c>
      <c r="C272" s="53" t="str">
        <f>C271</f>
        <v>100</v>
      </c>
      <c r="D272" s="54">
        <f>SUM(D271)</f>
        <v>0.2</v>
      </c>
      <c r="E272" s="54">
        <f>SUM(E271)</f>
        <v>0.1</v>
      </c>
      <c r="F272" s="54">
        <f>SUM(F271)</f>
        <v>10.1</v>
      </c>
      <c r="G272" s="54">
        <f>SUM(G271)</f>
        <v>46</v>
      </c>
      <c r="H272" s="54">
        <f>SUM(H271)</f>
        <v>2</v>
      </c>
      <c r="I272" s="55"/>
    </row>
    <row r="273" spans="1:9">
      <c r="A273" s="49"/>
      <c r="B273" s="145" t="s">
        <v>24</v>
      </c>
      <c r="C273" s="146"/>
      <c r="D273" s="146"/>
      <c r="E273" s="146"/>
      <c r="F273" s="146"/>
      <c r="G273" s="146"/>
      <c r="H273" s="146"/>
      <c r="I273" s="147"/>
    </row>
    <row r="274" spans="1:9" ht="212.25" customHeight="1">
      <c r="A274" s="49"/>
      <c r="B274" s="30" t="s">
        <v>133</v>
      </c>
      <c r="C274" s="77" t="s">
        <v>26</v>
      </c>
      <c r="D274" s="54">
        <v>1.05</v>
      </c>
      <c r="E274" s="54">
        <v>3.39</v>
      </c>
      <c r="F274" s="54">
        <v>2.6</v>
      </c>
      <c r="G274" s="54">
        <v>44.67</v>
      </c>
      <c r="H274" s="54">
        <v>2.13</v>
      </c>
      <c r="I274" s="55">
        <v>24</v>
      </c>
    </row>
    <row r="275" spans="1:9" ht="140.4">
      <c r="A275" s="49"/>
      <c r="B275" s="30" t="s">
        <v>134</v>
      </c>
      <c r="C275" s="77" t="s">
        <v>95</v>
      </c>
      <c r="D275" s="54">
        <v>2.46</v>
      </c>
      <c r="E275" s="54">
        <v>3.08</v>
      </c>
      <c r="F275" s="54">
        <v>12.6</v>
      </c>
      <c r="G275" s="54">
        <v>82.84</v>
      </c>
      <c r="H275" s="54">
        <v>4.9400000000000004</v>
      </c>
      <c r="I275" s="55">
        <v>25</v>
      </c>
    </row>
    <row r="276" spans="1:9" ht="140.4">
      <c r="A276" s="49"/>
      <c r="B276" s="30" t="s">
        <v>96</v>
      </c>
      <c r="C276" s="53">
        <v>60</v>
      </c>
      <c r="D276" s="54">
        <v>8.44</v>
      </c>
      <c r="E276" s="54">
        <v>6.88</v>
      </c>
      <c r="F276" s="54">
        <v>6.13</v>
      </c>
      <c r="G276" s="54">
        <v>119.26</v>
      </c>
      <c r="H276" s="54">
        <v>0.7</v>
      </c>
      <c r="I276" s="55">
        <v>6</v>
      </c>
    </row>
    <row r="277" spans="1:9">
      <c r="A277" s="49"/>
      <c r="B277" s="30" t="s">
        <v>135</v>
      </c>
      <c r="C277" s="53">
        <v>120</v>
      </c>
      <c r="D277" s="54">
        <v>2.31</v>
      </c>
      <c r="E277" s="54">
        <v>2.83</v>
      </c>
      <c r="F277" s="54">
        <v>6.8</v>
      </c>
      <c r="G277" s="54">
        <v>67</v>
      </c>
      <c r="H277" s="54">
        <v>18.96</v>
      </c>
      <c r="I277" s="55">
        <v>73</v>
      </c>
    </row>
    <row r="278" spans="1:9">
      <c r="A278" s="14">
        <v>20</v>
      </c>
      <c r="B278" s="30" t="s">
        <v>31</v>
      </c>
      <c r="C278" s="53">
        <v>150</v>
      </c>
      <c r="D278" s="54">
        <v>0.11</v>
      </c>
      <c r="E278" s="54">
        <v>7.0000000000000007E-2</v>
      </c>
      <c r="F278" s="54">
        <v>11.79</v>
      </c>
      <c r="G278" s="54">
        <v>50</v>
      </c>
      <c r="H278" s="54">
        <v>2.25</v>
      </c>
      <c r="I278" s="55">
        <v>20</v>
      </c>
    </row>
    <row r="279" spans="1:9">
      <c r="A279" s="14" t="s">
        <v>20</v>
      </c>
      <c r="B279" s="30" t="s">
        <v>32</v>
      </c>
      <c r="C279" s="53">
        <v>20</v>
      </c>
      <c r="D279" s="54">
        <v>1.52</v>
      </c>
      <c r="E279" s="54">
        <v>0.16</v>
      </c>
      <c r="F279" s="54">
        <v>9.84</v>
      </c>
      <c r="G279" s="54">
        <v>47</v>
      </c>
      <c r="H279" s="54">
        <v>0</v>
      </c>
      <c r="I279" s="55" t="s">
        <v>20</v>
      </c>
    </row>
    <row r="280" spans="1:9">
      <c r="A280" s="14" t="s">
        <v>20</v>
      </c>
      <c r="B280" s="30" t="s">
        <v>33</v>
      </c>
      <c r="C280" s="53">
        <v>40</v>
      </c>
      <c r="D280" s="54">
        <v>2.64</v>
      </c>
      <c r="E280" s="54">
        <v>0.48</v>
      </c>
      <c r="F280" s="54">
        <v>13.6</v>
      </c>
      <c r="G280" s="54">
        <v>72.400000000000006</v>
      </c>
      <c r="H280" s="54">
        <v>0</v>
      </c>
      <c r="I280" s="55" t="s">
        <v>20</v>
      </c>
    </row>
    <row r="281" spans="1:9">
      <c r="A281" s="27"/>
      <c r="B281" s="58" t="s">
        <v>34</v>
      </c>
      <c r="C281" s="53">
        <v>591</v>
      </c>
      <c r="D281" s="79">
        <f>SUM(D274:D280)</f>
        <v>18.529999999999998</v>
      </c>
      <c r="E281" s="79">
        <f>SUM(E274:E280)</f>
        <v>16.89</v>
      </c>
      <c r="F281" s="79">
        <f>SUM(F274:F280)</f>
        <v>63.360000000000007</v>
      </c>
      <c r="G281" s="79">
        <f>SUM(G274:G280)</f>
        <v>483.16999999999996</v>
      </c>
      <c r="H281" s="79">
        <f>SUM(H274:H280)</f>
        <v>28.98</v>
      </c>
      <c r="I281" s="59"/>
    </row>
    <row r="282" spans="1:9">
      <c r="A282" s="27"/>
      <c r="B282" s="148" t="s">
        <v>35</v>
      </c>
      <c r="C282" s="149"/>
      <c r="D282" s="149"/>
      <c r="E282" s="149"/>
      <c r="F282" s="149"/>
      <c r="G282" s="149"/>
      <c r="H282" s="149"/>
      <c r="I282" s="150"/>
    </row>
    <row r="283" spans="1:9" ht="212.25" customHeight="1">
      <c r="A283" s="27"/>
      <c r="B283" s="30" t="s">
        <v>36</v>
      </c>
      <c r="C283" s="25" t="s">
        <v>67</v>
      </c>
      <c r="D283" s="54">
        <v>0.9</v>
      </c>
      <c r="E283" s="54">
        <v>1.2</v>
      </c>
      <c r="F283" s="54">
        <v>6.54</v>
      </c>
      <c r="G283" s="54">
        <v>76.349999999999994</v>
      </c>
      <c r="H283" s="54">
        <v>0</v>
      </c>
      <c r="I283" s="55" t="s">
        <v>20</v>
      </c>
    </row>
    <row r="284" spans="1:9" ht="140.4">
      <c r="A284" s="27"/>
      <c r="B284" s="30" t="s">
        <v>38</v>
      </c>
      <c r="C284" s="25" t="s">
        <v>39</v>
      </c>
      <c r="D284" s="54">
        <v>5.22</v>
      </c>
      <c r="E284" s="54">
        <v>4.5</v>
      </c>
      <c r="F284" s="54">
        <v>7.2</v>
      </c>
      <c r="G284" s="54">
        <v>95.4</v>
      </c>
      <c r="H284" s="54">
        <v>1.26</v>
      </c>
      <c r="I284" s="55" t="s">
        <v>40</v>
      </c>
    </row>
    <row r="285" spans="1:9">
      <c r="A285" s="27"/>
      <c r="B285" s="30" t="s">
        <v>34</v>
      </c>
      <c r="C285" s="57">
        <f t="shared" ref="C285:H285" si="19">C283+C284</f>
        <v>210</v>
      </c>
      <c r="D285" s="54">
        <f t="shared" si="19"/>
        <v>6.12</v>
      </c>
      <c r="E285" s="54">
        <f t="shared" si="19"/>
        <v>5.7</v>
      </c>
      <c r="F285" s="54">
        <f t="shared" si="19"/>
        <v>13.74</v>
      </c>
      <c r="G285" s="54">
        <f t="shared" si="19"/>
        <v>171.75</v>
      </c>
      <c r="H285" s="54">
        <f t="shared" si="19"/>
        <v>1.26</v>
      </c>
      <c r="I285" s="54"/>
    </row>
    <row r="286" spans="1:9">
      <c r="A286" s="33"/>
      <c r="B286" s="148" t="s">
        <v>41</v>
      </c>
      <c r="C286" s="149"/>
      <c r="D286" s="149"/>
      <c r="E286" s="149"/>
      <c r="F286" s="149"/>
      <c r="G286" s="149"/>
      <c r="H286" s="149"/>
      <c r="I286" s="150"/>
    </row>
    <row r="287" spans="1:9" ht="141.75" customHeight="1">
      <c r="A287" s="27">
        <v>60</v>
      </c>
      <c r="B287" s="30" t="s">
        <v>136</v>
      </c>
      <c r="C287" s="25" t="s">
        <v>137</v>
      </c>
      <c r="D287" s="54">
        <v>15.8</v>
      </c>
      <c r="E287" s="54">
        <v>11.24</v>
      </c>
      <c r="F287" s="54">
        <v>21.89</v>
      </c>
      <c r="G287" s="54">
        <f>D287*4+E287*9+F287*4</f>
        <v>251.92000000000002</v>
      </c>
      <c r="H287" s="54">
        <v>0.24</v>
      </c>
      <c r="I287" s="55">
        <v>78</v>
      </c>
    </row>
    <row r="288" spans="1:9" ht="280.8">
      <c r="A288" s="27"/>
      <c r="B288" s="30" t="s">
        <v>44</v>
      </c>
      <c r="C288" s="25" t="s">
        <v>22</v>
      </c>
      <c r="D288" s="54">
        <v>1.5</v>
      </c>
      <c r="E288" s="54">
        <v>0.5</v>
      </c>
      <c r="F288" s="54">
        <v>21</v>
      </c>
      <c r="G288" s="54">
        <v>96</v>
      </c>
      <c r="H288" s="54">
        <v>10</v>
      </c>
      <c r="I288" s="55">
        <v>76</v>
      </c>
    </row>
    <row r="289" spans="1:9">
      <c r="A289" s="47">
        <v>59</v>
      </c>
      <c r="B289" s="58" t="s">
        <v>14</v>
      </c>
      <c r="C289" s="53">
        <v>180</v>
      </c>
      <c r="D289" s="54">
        <v>0</v>
      </c>
      <c r="E289" s="54">
        <v>0</v>
      </c>
      <c r="F289" s="54">
        <v>6.05</v>
      </c>
      <c r="G289" s="54">
        <v>25</v>
      </c>
      <c r="H289" s="54">
        <v>0</v>
      </c>
      <c r="I289" s="59">
        <v>13</v>
      </c>
    </row>
    <row r="290" spans="1:9">
      <c r="A290" s="33"/>
      <c r="B290" s="30" t="s">
        <v>17</v>
      </c>
      <c r="C290" s="53">
        <f t="shared" ref="C290:H290" si="20">C287+C288+C289</f>
        <v>402</v>
      </c>
      <c r="D290" s="54">
        <f t="shared" si="20"/>
        <v>17.3</v>
      </c>
      <c r="E290" s="54">
        <f t="shared" si="20"/>
        <v>11.74</v>
      </c>
      <c r="F290" s="54">
        <f t="shared" si="20"/>
        <v>48.94</v>
      </c>
      <c r="G290" s="54">
        <f t="shared" si="20"/>
        <v>372.92</v>
      </c>
      <c r="H290" s="54">
        <f t="shared" si="20"/>
        <v>10.24</v>
      </c>
      <c r="I290" s="56"/>
    </row>
    <row r="291" spans="1:9">
      <c r="A291" s="14"/>
      <c r="B291" s="30"/>
      <c r="C291" s="25"/>
      <c r="D291" s="60" t="s">
        <v>7</v>
      </c>
      <c r="E291" s="61" t="s">
        <v>8</v>
      </c>
      <c r="F291" s="61" t="s">
        <v>9</v>
      </c>
      <c r="G291" s="62" t="s">
        <v>46</v>
      </c>
      <c r="H291" s="61" t="s">
        <v>47</v>
      </c>
      <c r="I291" s="55"/>
    </row>
    <row r="292" spans="1:9">
      <c r="A292" s="14"/>
      <c r="B292" s="63" t="s">
        <v>138</v>
      </c>
      <c r="C292" s="25"/>
      <c r="D292" s="54">
        <f>SUM(D269+D272+D281+D290+D285)</f>
        <v>53.909999999999989</v>
      </c>
      <c r="E292" s="54">
        <f>SUM(E269+E272+E281+E290+E285)</f>
        <v>48.53</v>
      </c>
      <c r="F292" s="54">
        <f>SUM(F269+F272+F281+F290+F285)</f>
        <v>177.73000000000002</v>
      </c>
      <c r="G292" s="54">
        <f>SUM(G269+G272+G281+G290+G285)</f>
        <v>1413.84</v>
      </c>
      <c r="H292" s="54">
        <f>SUM(H269+H272+H281+H290+H285)</f>
        <v>44.92</v>
      </c>
      <c r="I292" s="55"/>
    </row>
    <row r="293" spans="1:9">
      <c r="A293" s="14"/>
      <c r="B293" s="63" t="s">
        <v>49</v>
      </c>
      <c r="C293" s="25"/>
      <c r="D293" s="54">
        <v>42</v>
      </c>
      <c r="E293" s="54">
        <v>47</v>
      </c>
      <c r="F293" s="54">
        <v>203</v>
      </c>
      <c r="G293" s="54">
        <v>1400</v>
      </c>
      <c r="H293" s="54">
        <v>45</v>
      </c>
      <c r="I293" s="55"/>
    </row>
    <row r="294" spans="1:9" ht="139.19999999999999">
      <c r="A294" s="33"/>
      <c r="B294" s="64" t="s">
        <v>50</v>
      </c>
      <c r="C294" s="61"/>
      <c r="D294" s="65">
        <f>D292*100/D293</f>
        <v>128.35714285714283</v>
      </c>
      <c r="E294" s="65">
        <f>E292*100/E293</f>
        <v>103.25531914893617</v>
      </c>
      <c r="F294" s="65">
        <f>F292*100/F293</f>
        <v>87.551724137931032</v>
      </c>
      <c r="G294" s="65">
        <f>G292*100/G293</f>
        <v>100.98857142857143</v>
      </c>
      <c r="H294" s="65">
        <f>H292*100/H293</f>
        <v>99.822222222222223</v>
      </c>
      <c r="I294" s="56"/>
    </row>
    <row r="295" spans="1:9">
      <c r="A295" s="35"/>
      <c r="B295" s="67"/>
      <c r="C295" s="68"/>
      <c r="D295" s="69"/>
      <c r="E295" s="69"/>
      <c r="F295" s="69"/>
      <c r="G295" s="69"/>
      <c r="H295" s="69"/>
      <c r="I295" s="70"/>
    </row>
    <row r="296" spans="1:9">
      <c r="A296" s="35"/>
      <c r="B296" s="71" t="s">
        <v>51</v>
      </c>
      <c r="C296" s="71"/>
      <c r="D296" s="71"/>
      <c r="E296" s="69"/>
      <c r="F296" s="69"/>
      <c r="G296" s="69"/>
      <c r="H296" s="69"/>
      <c r="I296" s="70"/>
    </row>
    <row r="297" spans="1:9">
      <c r="A297" s="35"/>
      <c r="B297" s="71" t="s">
        <v>52</v>
      </c>
      <c r="C297" s="72"/>
      <c r="D297" s="71"/>
      <c r="E297" s="71"/>
      <c r="F297" s="71"/>
      <c r="G297" s="71"/>
      <c r="H297" s="71"/>
      <c r="I297" s="70"/>
    </row>
    <row r="298" spans="1:9" ht="71.25" customHeight="1">
      <c r="A298" s="35"/>
      <c r="B298" s="67"/>
      <c r="C298" s="68"/>
      <c r="D298" s="69"/>
      <c r="E298" s="69"/>
      <c r="F298" s="69"/>
      <c r="G298" s="69"/>
      <c r="H298" s="69"/>
      <c r="I298" s="70"/>
    </row>
    <row r="299" spans="1:9">
      <c r="A299" s="152" t="s">
        <v>0</v>
      </c>
      <c r="B299" s="145" t="s">
        <v>1</v>
      </c>
      <c r="C299" s="143" t="s">
        <v>2</v>
      </c>
      <c r="D299" s="145" t="s">
        <v>3</v>
      </c>
      <c r="E299" s="146"/>
      <c r="F299" s="147"/>
      <c r="G299" s="145" t="s">
        <v>4</v>
      </c>
      <c r="H299" s="145" t="s">
        <v>5</v>
      </c>
      <c r="I299" s="141" t="s">
        <v>6</v>
      </c>
    </row>
    <row r="300" spans="1:9">
      <c r="A300" s="153"/>
      <c r="B300" s="151"/>
      <c r="C300" s="144"/>
      <c r="D300" s="60" t="s">
        <v>7</v>
      </c>
      <c r="E300" s="61" t="s">
        <v>8</v>
      </c>
      <c r="F300" s="61" t="s">
        <v>9</v>
      </c>
      <c r="G300" s="151"/>
      <c r="H300" s="151"/>
      <c r="I300" s="142"/>
    </row>
    <row r="301" spans="1:9" ht="71.25" customHeight="1">
      <c r="A301" s="49"/>
      <c r="B301" s="73" t="s">
        <v>139</v>
      </c>
      <c r="C301" s="74"/>
      <c r="D301" s="74"/>
      <c r="E301" s="74"/>
      <c r="F301" s="74"/>
      <c r="G301" s="74"/>
      <c r="H301" s="74"/>
      <c r="I301" s="81"/>
    </row>
    <row r="302" spans="1:9">
      <c r="A302" s="49"/>
      <c r="B302" s="145" t="s">
        <v>11</v>
      </c>
      <c r="C302" s="146"/>
      <c r="D302" s="146"/>
      <c r="E302" s="146"/>
      <c r="F302" s="146"/>
      <c r="G302" s="146"/>
      <c r="H302" s="146"/>
      <c r="I302" s="147"/>
    </row>
    <row r="303" spans="1:9">
      <c r="A303" s="27">
        <v>45</v>
      </c>
      <c r="B303" s="58" t="s">
        <v>55</v>
      </c>
      <c r="C303" s="53">
        <v>160</v>
      </c>
      <c r="D303" s="79">
        <v>13.96</v>
      </c>
      <c r="E303" s="79">
        <v>14.46</v>
      </c>
      <c r="F303" s="79">
        <v>3.79</v>
      </c>
      <c r="G303" s="79">
        <v>199</v>
      </c>
      <c r="H303" s="79">
        <v>0.84</v>
      </c>
      <c r="I303" s="59">
        <v>37</v>
      </c>
    </row>
    <row r="304" spans="1:9" ht="140.4">
      <c r="A304" s="14"/>
      <c r="B304" s="30" t="s">
        <v>56</v>
      </c>
      <c r="C304" s="77" t="s">
        <v>57</v>
      </c>
      <c r="D304" s="54">
        <v>0.96</v>
      </c>
      <c r="E304" s="54">
        <v>3.76</v>
      </c>
      <c r="F304" s="54">
        <v>6.16</v>
      </c>
      <c r="G304" s="54">
        <v>62.4</v>
      </c>
      <c r="H304" s="54">
        <v>7.68</v>
      </c>
      <c r="I304" s="59">
        <v>26</v>
      </c>
    </row>
    <row r="305" spans="1:9">
      <c r="A305" s="14"/>
      <c r="B305" s="58" t="s">
        <v>86</v>
      </c>
      <c r="C305" s="53">
        <v>180</v>
      </c>
      <c r="D305" s="79">
        <v>1.3</v>
      </c>
      <c r="E305" s="79">
        <v>1.1200000000000001</v>
      </c>
      <c r="F305" s="79">
        <v>8.15</v>
      </c>
      <c r="G305" s="79">
        <v>48</v>
      </c>
      <c r="H305" s="79">
        <v>0.57999999999999996</v>
      </c>
      <c r="I305" s="80">
        <v>59</v>
      </c>
    </row>
    <row r="306" spans="1:9">
      <c r="A306" s="14">
        <v>3</v>
      </c>
      <c r="B306" s="30" t="s">
        <v>15</v>
      </c>
      <c r="C306" s="25" t="s">
        <v>16</v>
      </c>
      <c r="D306" s="54">
        <v>3.65</v>
      </c>
      <c r="E306" s="54">
        <v>6.38</v>
      </c>
      <c r="F306" s="54">
        <v>9.9</v>
      </c>
      <c r="G306" s="54">
        <v>112</v>
      </c>
      <c r="H306" s="54">
        <v>0.06</v>
      </c>
      <c r="I306" s="55">
        <v>3</v>
      </c>
    </row>
    <row r="307" spans="1:9" ht="71.25" customHeight="1">
      <c r="A307" s="14"/>
      <c r="B307" s="30" t="s">
        <v>17</v>
      </c>
      <c r="C307" s="25" t="s">
        <v>140</v>
      </c>
      <c r="D307" s="54">
        <f>D303+D304+D305+D306</f>
        <v>19.87</v>
      </c>
      <c r="E307" s="54">
        <f>E303+E304+E305+E306</f>
        <v>25.72</v>
      </c>
      <c r="F307" s="54">
        <f>F303+F304+F305+F306</f>
        <v>28</v>
      </c>
      <c r="G307" s="54">
        <f>G303+G304+G305+G306</f>
        <v>421.4</v>
      </c>
      <c r="H307" s="54">
        <f>H303+H304+H305+H306</f>
        <v>9.16</v>
      </c>
      <c r="I307" s="54"/>
    </row>
    <row r="308" spans="1:9">
      <c r="A308" s="39"/>
      <c r="B308" s="145" t="s">
        <v>19</v>
      </c>
      <c r="C308" s="146"/>
      <c r="D308" s="146"/>
      <c r="E308" s="146"/>
      <c r="F308" s="146"/>
      <c r="G308" s="146"/>
      <c r="H308" s="146"/>
      <c r="I308" s="147"/>
    </row>
    <row r="309" spans="1:9">
      <c r="A309" s="14" t="s">
        <v>20</v>
      </c>
      <c r="B309" s="30" t="s">
        <v>21</v>
      </c>
      <c r="C309" s="77" t="s">
        <v>22</v>
      </c>
      <c r="D309" s="54">
        <v>0.2</v>
      </c>
      <c r="E309" s="54">
        <v>0.1</v>
      </c>
      <c r="F309" s="54">
        <v>10.1</v>
      </c>
      <c r="G309" s="54">
        <v>46</v>
      </c>
      <c r="H309" s="54">
        <v>2</v>
      </c>
      <c r="I309" s="55" t="s">
        <v>20</v>
      </c>
    </row>
    <row r="310" spans="1:9" ht="71.25" customHeight="1">
      <c r="A310" s="14"/>
      <c r="B310" s="30" t="s">
        <v>17</v>
      </c>
      <c r="C310" s="53" t="str">
        <f>C309</f>
        <v>100</v>
      </c>
      <c r="D310" s="54">
        <f>SUM(D309)</f>
        <v>0.2</v>
      </c>
      <c r="E310" s="54">
        <f>SUM(E309)</f>
        <v>0.1</v>
      </c>
      <c r="F310" s="54">
        <f>SUM(F309)</f>
        <v>10.1</v>
      </c>
      <c r="G310" s="54">
        <f>SUM(G309)</f>
        <v>46</v>
      </c>
      <c r="H310" s="54">
        <f>SUM(H309)</f>
        <v>2</v>
      </c>
      <c r="I310" s="55"/>
    </row>
    <row r="311" spans="1:9">
      <c r="A311" s="39"/>
      <c r="B311" s="145" t="s">
        <v>24</v>
      </c>
      <c r="C311" s="146"/>
      <c r="D311" s="146"/>
      <c r="E311" s="146"/>
      <c r="F311" s="146"/>
      <c r="G311" s="146"/>
      <c r="H311" s="146"/>
      <c r="I311" s="147"/>
    </row>
    <row r="312" spans="1:9" ht="140.4">
      <c r="A312" s="14">
        <v>56</v>
      </c>
      <c r="B312" s="78" t="s">
        <v>71</v>
      </c>
      <c r="C312" s="77" t="s">
        <v>26</v>
      </c>
      <c r="D312" s="54">
        <v>0.32</v>
      </c>
      <c r="E312" s="54">
        <v>0.04</v>
      </c>
      <c r="F312" s="54">
        <v>1</v>
      </c>
      <c r="G312" s="54">
        <v>5.6</v>
      </c>
      <c r="H312" s="54">
        <v>4</v>
      </c>
      <c r="I312" s="59">
        <v>89</v>
      </c>
    </row>
    <row r="313" spans="1:9" ht="140.4">
      <c r="A313" s="14">
        <v>57</v>
      </c>
      <c r="B313" s="30" t="s">
        <v>141</v>
      </c>
      <c r="C313" s="25" t="s">
        <v>95</v>
      </c>
      <c r="D313" s="54">
        <v>2.54</v>
      </c>
      <c r="E313" s="54">
        <v>3.38</v>
      </c>
      <c r="F313" s="54">
        <v>8.2899999999999991</v>
      </c>
      <c r="G313" s="54">
        <v>82.84</v>
      </c>
      <c r="H313" s="54">
        <v>6</v>
      </c>
      <c r="I313" s="55">
        <v>70</v>
      </c>
    </row>
    <row r="314" spans="1:9">
      <c r="A314" s="14">
        <v>64</v>
      </c>
      <c r="B314" s="30" t="s">
        <v>142</v>
      </c>
      <c r="C314" s="83">
        <v>50</v>
      </c>
      <c r="D314" s="54">
        <v>6.41</v>
      </c>
      <c r="E314" s="54">
        <v>6.78</v>
      </c>
      <c r="F314" s="54">
        <v>5.22</v>
      </c>
      <c r="G314" s="54">
        <v>107.5</v>
      </c>
      <c r="H314" s="54">
        <v>0.56000000000000005</v>
      </c>
      <c r="I314" s="55">
        <v>64</v>
      </c>
    </row>
    <row r="315" spans="1:9">
      <c r="A315" s="14"/>
      <c r="B315" s="30" t="s">
        <v>143</v>
      </c>
      <c r="C315" s="53">
        <v>20</v>
      </c>
      <c r="D315" s="54">
        <v>0.17</v>
      </c>
      <c r="E315" s="54">
        <v>0.64</v>
      </c>
      <c r="F315" s="54">
        <v>0.94</v>
      </c>
      <c r="G315" s="54">
        <v>9.7100000000000009</v>
      </c>
      <c r="H315" s="54">
        <v>0.27</v>
      </c>
      <c r="I315" s="55">
        <v>7</v>
      </c>
    </row>
    <row r="316" spans="1:9">
      <c r="A316" s="14">
        <v>73</v>
      </c>
      <c r="B316" s="30" t="s">
        <v>115</v>
      </c>
      <c r="C316" s="53">
        <v>120</v>
      </c>
      <c r="D316" s="54">
        <v>0.55000000000000004</v>
      </c>
      <c r="E316" s="54">
        <v>0</v>
      </c>
      <c r="F316" s="54">
        <v>22.62</v>
      </c>
      <c r="G316" s="54">
        <v>96</v>
      </c>
      <c r="H316" s="54">
        <v>0.5</v>
      </c>
      <c r="I316" s="59">
        <v>8</v>
      </c>
    </row>
    <row r="317" spans="1:9">
      <c r="A317" s="14">
        <v>36</v>
      </c>
      <c r="B317" s="30" t="s">
        <v>116</v>
      </c>
      <c r="C317" s="53">
        <v>180</v>
      </c>
      <c r="D317" s="54">
        <v>0.14000000000000001</v>
      </c>
      <c r="E317" s="54">
        <v>0.14000000000000001</v>
      </c>
      <c r="F317" s="54">
        <v>9.52</v>
      </c>
      <c r="G317" s="54">
        <v>41</v>
      </c>
      <c r="H317" s="54">
        <v>3.6</v>
      </c>
      <c r="I317" s="55">
        <v>54</v>
      </c>
    </row>
    <row r="318" spans="1:9">
      <c r="A318" s="14" t="s">
        <v>20</v>
      </c>
      <c r="B318" s="30" t="s">
        <v>32</v>
      </c>
      <c r="C318" s="53">
        <v>20</v>
      </c>
      <c r="D318" s="54">
        <v>1.52</v>
      </c>
      <c r="E318" s="54">
        <v>0.16</v>
      </c>
      <c r="F318" s="54">
        <v>9.84</v>
      </c>
      <c r="G318" s="54">
        <v>47</v>
      </c>
      <c r="H318" s="54">
        <v>0</v>
      </c>
      <c r="I318" s="55" t="s">
        <v>20</v>
      </c>
    </row>
    <row r="319" spans="1:9">
      <c r="A319" s="14" t="s">
        <v>20</v>
      </c>
      <c r="B319" s="30" t="s">
        <v>33</v>
      </c>
      <c r="C319" s="53">
        <v>40</v>
      </c>
      <c r="D319" s="54">
        <v>2.64</v>
      </c>
      <c r="E319" s="54">
        <v>0.48</v>
      </c>
      <c r="F319" s="54">
        <v>13.6</v>
      </c>
      <c r="G319" s="54">
        <v>72.400000000000006</v>
      </c>
      <c r="H319" s="54">
        <v>0</v>
      </c>
      <c r="I319" s="55" t="s">
        <v>20</v>
      </c>
    </row>
    <row r="320" spans="1:9" ht="71.25" customHeight="1">
      <c r="A320" s="27"/>
      <c r="B320" s="58" t="s">
        <v>34</v>
      </c>
      <c r="C320" s="53">
        <v>601</v>
      </c>
      <c r="D320" s="79">
        <f>D312+D313+D314+D315+D316+D317+D318+D319</f>
        <v>14.290000000000001</v>
      </c>
      <c r="E320" s="79">
        <f>E312+E313+E314+E315+E316+E317+E318+E319</f>
        <v>11.620000000000001</v>
      </c>
      <c r="F320" s="79">
        <f>F312+F313+F314+F315+F316+F317+F318+F319</f>
        <v>71.03</v>
      </c>
      <c r="G320" s="79">
        <f>G312+G313+G314+G315+G316+G317+G318+G319</f>
        <v>462.04999999999995</v>
      </c>
      <c r="H320" s="79">
        <f>H312+H313+H314+H315+H316+H317+H318+H319</f>
        <v>14.93</v>
      </c>
      <c r="I320" s="59"/>
    </row>
    <row r="321" spans="1:9">
      <c r="A321" s="27"/>
      <c r="B321" s="148" t="s">
        <v>35</v>
      </c>
      <c r="C321" s="149"/>
      <c r="D321" s="149"/>
      <c r="E321" s="149"/>
      <c r="F321" s="149"/>
      <c r="G321" s="149"/>
      <c r="H321" s="149"/>
      <c r="I321" s="150"/>
    </row>
    <row r="322" spans="1:9" ht="140.4">
      <c r="A322" s="27"/>
      <c r="B322" s="30" t="s">
        <v>38</v>
      </c>
      <c r="C322" s="25" t="s">
        <v>39</v>
      </c>
      <c r="D322" s="54">
        <v>5.22</v>
      </c>
      <c r="E322" s="54">
        <v>4.5</v>
      </c>
      <c r="F322" s="54">
        <v>7.2</v>
      </c>
      <c r="G322" s="54">
        <v>95.4</v>
      </c>
      <c r="H322" s="54">
        <v>1.26</v>
      </c>
      <c r="I322" s="55" t="s">
        <v>40</v>
      </c>
    </row>
    <row r="323" spans="1:9">
      <c r="A323" s="27"/>
      <c r="B323" s="30" t="s">
        <v>144</v>
      </c>
      <c r="C323" s="84" t="s">
        <v>69</v>
      </c>
      <c r="D323" s="54">
        <v>4.66</v>
      </c>
      <c r="E323" s="54">
        <v>6.4</v>
      </c>
      <c r="F323" s="54">
        <v>25.2</v>
      </c>
      <c r="G323" s="54">
        <v>165.9</v>
      </c>
      <c r="H323" s="54">
        <v>0.16</v>
      </c>
      <c r="I323" s="55">
        <v>53</v>
      </c>
    </row>
    <row r="324" spans="1:9" ht="71.25" customHeight="1">
      <c r="A324" s="27"/>
      <c r="B324" s="30" t="s">
        <v>34</v>
      </c>
      <c r="C324" s="57">
        <f t="shared" ref="C324:H324" si="21">C322+C323</f>
        <v>240</v>
      </c>
      <c r="D324" s="54">
        <f t="shared" si="21"/>
        <v>9.879999999999999</v>
      </c>
      <c r="E324" s="54">
        <f t="shared" si="21"/>
        <v>10.9</v>
      </c>
      <c r="F324" s="54">
        <f t="shared" si="21"/>
        <v>32.4</v>
      </c>
      <c r="G324" s="54">
        <f t="shared" si="21"/>
        <v>261.3</v>
      </c>
      <c r="H324" s="54">
        <f t="shared" si="21"/>
        <v>1.42</v>
      </c>
      <c r="I324" s="54"/>
    </row>
    <row r="325" spans="1:9">
      <c r="A325" s="33"/>
      <c r="B325" s="148" t="s">
        <v>41</v>
      </c>
      <c r="C325" s="149"/>
      <c r="D325" s="149"/>
      <c r="E325" s="149"/>
      <c r="F325" s="149"/>
      <c r="G325" s="149"/>
      <c r="H325" s="149"/>
      <c r="I325" s="150"/>
    </row>
    <row r="326" spans="1:9">
      <c r="A326" s="33"/>
      <c r="B326" s="30" t="s">
        <v>145</v>
      </c>
      <c r="C326" s="25" t="s">
        <v>83</v>
      </c>
      <c r="D326" s="54">
        <v>5.38</v>
      </c>
      <c r="E326" s="54">
        <v>3.68</v>
      </c>
      <c r="F326" s="54">
        <v>7.68</v>
      </c>
      <c r="G326" s="54">
        <v>86</v>
      </c>
      <c r="H326" s="54">
        <v>6.22</v>
      </c>
      <c r="I326" s="55">
        <v>71</v>
      </c>
    </row>
    <row r="327" spans="1:9">
      <c r="A327" s="33"/>
      <c r="B327" s="30" t="s">
        <v>146</v>
      </c>
      <c r="C327" s="83">
        <v>25</v>
      </c>
      <c r="D327" s="54">
        <v>0.73</v>
      </c>
      <c r="E327" s="54">
        <v>7.98</v>
      </c>
      <c r="F327" s="54">
        <v>2.35</v>
      </c>
      <c r="G327" s="54">
        <v>81.25</v>
      </c>
      <c r="H327" s="54">
        <v>0.1</v>
      </c>
      <c r="I327" s="55">
        <v>82</v>
      </c>
    </row>
    <row r="328" spans="1:9">
      <c r="A328" s="27">
        <v>22</v>
      </c>
      <c r="B328" s="30" t="s">
        <v>147</v>
      </c>
      <c r="C328" s="83">
        <v>100</v>
      </c>
      <c r="D328" s="54">
        <v>1.71</v>
      </c>
      <c r="E328" s="54">
        <v>1.67</v>
      </c>
      <c r="F328" s="54">
        <v>8.1300000000000008</v>
      </c>
      <c r="G328" s="54">
        <v>130</v>
      </c>
      <c r="H328" s="54">
        <v>8.91</v>
      </c>
      <c r="I328" s="59">
        <v>27</v>
      </c>
    </row>
    <row r="329" spans="1:9">
      <c r="A329" s="27"/>
      <c r="B329" s="30" t="s">
        <v>32</v>
      </c>
      <c r="C329" s="53">
        <v>20</v>
      </c>
      <c r="D329" s="54">
        <v>1.52</v>
      </c>
      <c r="E329" s="54">
        <v>0.16</v>
      </c>
      <c r="F329" s="54">
        <v>9.84</v>
      </c>
      <c r="G329" s="54">
        <v>47</v>
      </c>
      <c r="H329" s="54">
        <v>0</v>
      </c>
      <c r="I329" s="55" t="s">
        <v>20</v>
      </c>
    </row>
    <row r="330" spans="1:9" ht="280.8">
      <c r="A330" s="27"/>
      <c r="B330" s="30" t="s">
        <v>44</v>
      </c>
      <c r="C330" s="25" t="s">
        <v>57</v>
      </c>
      <c r="D330" s="54">
        <v>1.2</v>
      </c>
      <c r="E330" s="54">
        <v>0.4</v>
      </c>
      <c r="F330" s="54">
        <v>16.8</v>
      </c>
      <c r="G330" s="54">
        <v>76.8</v>
      </c>
      <c r="H330" s="54">
        <v>8</v>
      </c>
      <c r="I330" s="55">
        <v>76</v>
      </c>
    </row>
    <row r="331" spans="1:9">
      <c r="A331" s="27">
        <v>13</v>
      </c>
      <c r="B331" s="30" t="s">
        <v>73</v>
      </c>
      <c r="C331" s="53">
        <v>180</v>
      </c>
      <c r="D331" s="79">
        <v>2.35</v>
      </c>
      <c r="E331" s="79">
        <v>1.91</v>
      </c>
      <c r="F331" s="79">
        <v>9.51</v>
      </c>
      <c r="G331" s="79">
        <v>64</v>
      </c>
      <c r="H331" s="79">
        <v>0.91</v>
      </c>
      <c r="I331" s="55">
        <v>2</v>
      </c>
    </row>
    <row r="332" spans="1:9">
      <c r="A332" s="33"/>
      <c r="B332" s="30" t="s">
        <v>17</v>
      </c>
      <c r="C332" s="53">
        <f t="shared" ref="C332:H332" si="22">C326+C327+C328+C329+C330+C331</f>
        <v>455</v>
      </c>
      <c r="D332" s="54">
        <f t="shared" si="22"/>
        <v>12.889999999999999</v>
      </c>
      <c r="E332" s="54">
        <f t="shared" si="22"/>
        <v>15.8</v>
      </c>
      <c r="F332" s="54">
        <f t="shared" si="22"/>
        <v>54.309999999999995</v>
      </c>
      <c r="G332" s="54">
        <f t="shared" si="22"/>
        <v>485.05</v>
      </c>
      <c r="H332" s="54">
        <f t="shared" si="22"/>
        <v>24.14</v>
      </c>
      <c r="I332" s="56"/>
    </row>
    <row r="333" spans="1:9">
      <c r="A333" s="14"/>
      <c r="B333" s="30"/>
      <c r="C333" s="25"/>
      <c r="D333" s="60" t="s">
        <v>7</v>
      </c>
      <c r="E333" s="61" t="s">
        <v>8</v>
      </c>
      <c r="F333" s="61" t="s">
        <v>9</v>
      </c>
      <c r="G333" s="62" t="s">
        <v>46</v>
      </c>
      <c r="H333" s="61" t="s">
        <v>47</v>
      </c>
      <c r="I333" s="55"/>
    </row>
    <row r="334" spans="1:9">
      <c r="A334" s="14"/>
      <c r="B334" s="63" t="s">
        <v>148</v>
      </c>
      <c r="C334" s="25"/>
      <c r="D334" s="54">
        <f>SUM(D307+D310+D320+D332+D324)</f>
        <v>57.129999999999995</v>
      </c>
      <c r="E334" s="54">
        <f>SUM(E307+E310+E320+E332+E324)</f>
        <v>64.14</v>
      </c>
      <c r="F334" s="54">
        <f>SUM(F307+F310+F320+F332+F324)</f>
        <v>195.84</v>
      </c>
      <c r="G334" s="54">
        <f>SUM(G307+G310+G320+G332+G324)</f>
        <v>1675.8</v>
      </c>
      <c r="H334" s="54">
        <f>SUM(H307+H310+H320+H332+H324)</f>
        <v>51.650000000000006</v>
      </c>
      <c r="I334" s="55"/>
    </row>
    <row r="335" spans="1:9">
      <c r="A335" s="14"/>
      <c r="B335" s="63" t="s">
        <v>49</v>
      </c>
      <c r="C335" s="25"/>
      <c r="D335" s="54">
        <v>42</v>
      </c>
      <c r="E335" s="54">
        <v>47</v>
      </c>
      <c r="F335" s="54">
        <v>203</v>
      </c>
      <c r="G335" s="54">
        <v>1400</v>
      </c>
      <c r="H335" s="54">
        <v>45</v>
      </c>
      <c r="I335" s="55"/>
    </row>
    <row r="336" spans="1:9" ht="139.19999999999999">
      <c r="A336" s="33"/>
      <c r="B336" s="64" t="s">
        <v>50</v>
      </c>
      <c r="C336" s="61"/>
      <c r="D336" s="65">
        <f>D334*100/D335</f>
        <v>136.02380952380952</v>
      </c>
      <c r="E336" s="65">
        <f>E334*100/E335</f>
        <v>136.46808510638297</v>
      </c>
      <c r="F336" s="65">
        <f>F334*100/F335</f>
        <v>96.472906403940883</v>
      </c>
      <c r="G336" s="65">
        <f>G334*100/G335</f>
        <v>119.7</v>
      </c>
      <c r="H336" s="65">
        <f>H334*100/H335</f>
        <v>114.7777777777778</v>
      </c>
      <c r="I336" s="56"/>
    </row>
    <row r="337" spans="1:9">
      <c r="A337" s="35"/>
      <c r="B337" s="67"/>
      <c r="C337" s="68"/>
      <c r="D337" s="69"/>
      <c r="E337" s="69"/>
      <c r="F337" s="69"/>
      <c r="G337" s="69"/>
      <c r="H337" s="69"/>
      <c r="I337" s="70"/>
    </row>
    <row r="338" spans="1:9" ht="71.25" customHeight="1">
      <c r="A338" s="35"/>
      <c r="B338" s="71" t="s">
        <v>51</v>
      </c>
      <c r="C338" s="71"/>
      <c r="D338" s="71"/>
      <c r="E338" s="69"/>
      <c r="F338" s="69"/>
      <c r="G338" s="69"/>
      <c r="H338" s="69"/>
      <c r="I338" s="70"/>
    </row>
    <row r="339" spans="1:9">
      <c r="A339" s="35"/>
      <c r="B339" s="71" t="s">
        <v>52</v>
      </c>
      <c r="C339" s="72"/>
      <c r="D339" s="71"/>
      <c r="E339" s="71"/>
      <c r="F339" s="71"/>
      <c r="G339" s="71"/>
      <c r="H339" s="71"/>
      <c r="I339" s="70"/>
    </row>
    <row r="340" spans="1:9">
      <c r="A340" s="152" t="s">
        <v>0</v>
      </c>
      <c r="B340" s="145" t="s">
        <v>1</v>
      </c>
      <c r="C340" s="143" t="s">
        <v>2</v>
      </c>
      <c r="D340" s="145" t="s">
        <v>3</v>
      </c>
      <c r="E340" s="146"/>
      <c r="F340" s="147"/>
      <c r="G340" s="145" t="s">
        <v>4</v>
      </c>
      <c r="H340" s="145" t="s">
        <v>5</v>
      </c>
      <c r="I340" s="141" t="s">
        <v>6</v>
      </c>
    </row>
    <row r="341" spans="1:9" ht="71.25" customHeight="1">
      <c r="A341" s="153"/>
      <c r="B341" s="151"/>
      <c r="C341" s="144"/>
      <c r="D341" s="60" t="s">
        <v>7</v>
      </c>
      <c r="E341" s="61" t="s">
        <v>8</v>
      </c>
      <c r="F341" s="61" t="s">
        <v>9</v>
      </c>
      <c r="G341" s="151"/>
      <c r="H341" s="151"/>
      <c r="I341" s="142"/>
    </row>
    <row r="342" spans="1:9">
      <c r="A342" s="49"/>
      <c r="B342" s="73" t="s">
        <v>149</v>
      </c>
      <c r="C342" s="74"/>
      <c r="D342" s="74"/>
      <c r="E342" s="74"/>
      <c r="F342" s="74"/>
      <c r="G342" s="74"/>
      <c r="H342" s="74"/>
      <c r="I342" s="81"/>
    </row>
    <row r="343" spans="1:9">
      <c r="A343" s="49"/>
      <c r="B343" s="145" t="s">
        <v>11</v>
      </c>
      <c r="C343" s="146"/>
      <c r="D343" s="146"/>
      <c r="E343" s="146"/>
      <c r="F343" s="146"/>
      <c r="G343" s="146"/>
      <c r="H343" s="146"/>
      <c r="I343" s="147"/>
    </row>
    <row r="344" spans="1:9" s="48" customFormat="1" ht="140.4">
      <c r="A344" s="27">
        <v>68</v>
      </c>
      <c r="B344" s="58" t="s">
        <v>150</v>
      </c>
      <c r="C344" s="25" t="s">
        <v>13</v>
      </c>
      <c r="D344" s="79">
        <v>5.22</v>
      </c>
      <c r="E344" s="79">
        <v>5.28</v>
      </c>
      <c r="F344" s="79">
        <v>19.940000000000001</v>
      </c>
      <c r="G344" s="79">
        <v>148</v>
      </c>
      <c r="H344" s="79">
        <v>1.47</v>
      </c>
      <c r="I344" s="59">
        <v>68</v>
      </c>
    </row>
    <row r="345" spans="1:9">
      <c r="A345" s="14">
        <v>15</v>
      </c>
      <c r="B345" s="30" t="s">
        <v>73</v>
      </c>
      <c r="C345" s="53">
        <v>180</v>
      </c>
      <c r="D345" s="79">
        <v>2.35</v>
      </c>
      <c r="E345" s="79">
        <v>1.91</v>
      </c>
      <c r="F345" s="79">
        <v>9.51</v>
      </c>
      <c r="G345" s="79">
        <v>64</v>
      </c>
      <c r="H345" s="79">
        <v>0.91</v>
      </c>
      <c r="I345" s="55">
        <v>2</v>
      </c>
    </row>
    <row r="346" spans="1:9" ht="141.75" customHeight="1">
      <c r="A346" s="14">
        <v>16</v>
      </c>
      <c r="B346" s="30" t="s">
        <v>122</v>
      </c>
      <c r="C346" s="25" t="s">
        <v>123</v>
      </c>
      <c r="D346" s="54">
        <v>2.2400000000000002</v>
      </c>
      <c r="E346" s="54">
        <v>1.01</v>
      </c>
      <c r="F346" s="54">
        <v>15.39</v>
      </c>
      <c r="G346" s="54">
        <v>80</v>
      </c>
      <c r="H346" s="54">
        <v>0.1</v>
      </c>
      <c r="I346" s="55">
        <v>90</v>
      </c>
    </row>
    <row r="347" spans="1:9">
      <c r="A347" s="14"/>
      <c r="B347" s="30" t="s">
        <v>17</v>
      </c>
      <c r="C347" s="25" t="s">
        <v>124</v>
      </c>
      <c r="D347" s="54">
        <f>SUM(D344:D346)</f>
        <v>9.81</v>
      </c>
      <c r="E347" s="54">
        <f>SUM(E344+E345+E346)</f>
        <v>8.2000000000000011</v>
      </c>
      <c r="F347" s="54">
        <f>SUM(F344+F345+F346)</f>
        <v>44.84</v>
      </c>
      <c r="G347" s="54">
        <f>SUM(G344+G345+G346)</f>
        <v>292</v>
      </c>
      <c r="H347" s="54">
        <f>SUM(H344+H345+H346)</f>
        <v>2.48</v>
      </c>
      <c r="I347" s="55"/>
    </row>
    <row r="348" spans="1:9">
      <c r="A348" s="39"/>
      <c r="B348" s="145" t="s">
        <v>19</v>
      </c>
      <c r="C348" s="146"/>
      <c r="D348" s="146"/>
      <c r="E348" s="146"/>
      <c r="F348" s="146"/>
      <c r="G348" s="146"/>
      <c r="H348" s="146"/>
      <c r="I348" s="147"/>
    </row>
    <row r="349" spans="1:9" ht="141.75" customHeight="1">
      <c r="A349" s="14" t="s">
        <v>20</v>
      </c>
      <c r="B349" s="30" t="s">
        <v>21</v>
      </c>
      <c r="C349" s="77" t="s">
        <v>22</v>
      </c>
      <c r="D349" s="54">
        <v>0.2</v>
      </c>
      <c r="E349" s="54">
        <v>0.1</v>
      </c>
      <c r="F349" s="54">
        <v>10.1</v>
      </c>
      <c r="G349" s="54">
        <v>46</v>
      </c>
      <c r="H349" s="54">
        <v>2</v>
      </c>
      <c r="I349" s="55" t="s">
        <v>20</v>
      </c>
    </row>
    <row r="350" spans="1:9">
      <c r="A350" s="14"/>
      <c r="B350" s="30" t="s">
        <v>17</v>
      </c>
      <c r="C350" s="53" t="str">
        <f t="shared" ref="C350:H350" si="23">C349</f>
        <v>100</v>
      </c>
      <c r="D350" s="54">
        <f t="shared" si="23"/>
        <v>0.2</v>
      </c>
      <c r="E350" s="54">
        <f t="shared" si="23"/>
        <v>0.1</v>
      </c>
      <c r="F350" s="54">
        <f t="shared" si="23"/>
        <v>10.1</v>
      </c>
      <c r="G350" s="54">
        <f t="shared" si="23"/>
        <v>46</v>
      </c>
      <c r="H350" s="54">
        <f t="shared" si="23"/>
        <v>2</v>
      </c>
      <c r="I350" s="55"/>
    </row>
    <row r="351" spans="1:9">
      <c r="A351" s="49"/>
      <c r="B351" s="145" t="s">
        <v>24</v>
      </c>
      <c r="C351" s="146"/>
      <c r="D351" s="146"/>
      <c r="E351" s="146"/>
      <c r="F351" s="146"/>
      <c r="G351" s="146"/>
      <c r="H351" s="146"/>
      <c r="I351" s="147"/>
    </row>
    <row r="352" spans="1:9">
      <c r="A352" s="27">
        <v>66</v>
      </c>
      <c r="B352" s="30" t="s">
        <v>125</v>
      </c>
      <c r="C352" s="77" t="s">
        <v>26</v>
      </c>
      <c r="D352" s="54">
        <v>1.91</v>
      </c>
      <c r="E352" s="54">
        <v>3.73</v>
      </c>
      <c r="F352" s="54">
        <v>2.15</v>
      </c>
      <c r="G352" s="54">
        <v>50.67</v>
      </c>
      <c r="H352" s="54">
        <v>2.93</v>
      </c>
      <c r="I352" s="59">
        <v>86</v>
      </c>
    </row>
    <row r="353" spans="1:9" ht="140.4">
      <c r="A353" s="14">
        <v>46</v>
      </c>
      <c r="B353" s="30" t="s">
        <v>151</v>
      </c>
      <c r="C353" s="25" t="s">
        <v>61</v>
      </c>
      <c r="D353" s="54">
        <v>3.14</v>
      </c>
      <c r="E353" s="54">
        <v>4.99</v>
      </c>
      <c r="F353" s="54">
        <v>10.81</v>
      </c>
      <c r="G353" s="54">
        <v>101.88</v>
      </c>
      <c r="H353" s="54">
        <v>7.85</v>
      </c>
      <c r="I353" s="55">
        <v>57</v>
      </c>
    </row>
    <row r="354" spans="1:9" ht="140.4">
      <c r="A354" s="27">
        <v>29</v>
      </c>
      <c r="B354" s="30" t="s">
        <v>152</v>
      </c>
      <c r="C354" s="53">
        <v>60</v>
      </c>
      <c r="D354" s="54">
        <v>7.81</v>
      </c>
      <c r="E354" s="54">
        <v>7.1</v>
      </c>
      <c r="F354" s="54">
        <v>1.9</v>
      </c>
      <c r="G354" s="54">
        <v>104</v>
      </c>
      <c r="H354" s="54">
        <v>0.11</v>
      </c>
      <c r="I354" s="55">
        <v>85</v>
      </c>
    </row>
    <row r="355" spans="1:9">
      <c r="A355" s="27">
        <v>8</v>
      </c>
      <c r="B355" s="30" t="s">
        <v>115</v>
      </c>
      <c r="C355" s="53">
        <v>120</v>
      </c>
      <c r="D355" s="54">
        <v>0.55000000000000004</v>
      </c>
      <c r="E355" s="54">
        <v>0</v>
      </c>
      <c r="F355" s="54">
        <v>22.62</v>
      </c>
      <c r="G355" s="54">
        <v>96</v>
      </c>
      <c r="H355" s="54">
        <v>0.5</v>
      </c>
      <c r="I355" s="59">
        <v>8</v>
      </c>
    </row>
    <row r="356" spans="1:9">
      <c r="A356" s="14">
        <v>20</v>
      </c>
      <c r="B356" s="30" t="s">
        <v>116</v>
      </c>
      <c r="C356" s="53">
        <v>180</v>
      </c>
      <c r="D356" s="54">
        <v>0.14000000000000001</v>
      </c>
      <c r="E356" s="54">
        <v>0.14000000000000001</v>
      </c>
      <c r="F356" s="54">
        <v>9.52</v>
      </c>
      <c r="G356" s="54">
        <v>41</v>
      </c>
      <c r="H356" s="54">
        <v>3.6</v>
      </c>
      <c r="I356" s="55">
        <v>54</v>
      </c>
    </row>
    <row r="357" spans="1:9">
      <c r="A357" s="14" t="s">
        <v>20</v>
      </c>
      <c r="B357" s="30" t="s">
        <v>32</v>
      </c>
      <c r="C357" s="53">
        <v>20</v>
      </c>
      <c r="D357" s="54">
        <v>1.52</v>
      </c>
      <c r="E357" s="54">
        <v>0.16</v>
      </c>
      <c r="F357" s="54">
        <v>9.84</v>
      </c>
      <c r="G357" s="54">
        <v>47</v>
      </c>
      <c r="H357" s="54">
        <v>0</v>
      </c>
      <c r="I357" s="55" t="s">
        <v>20</v>
      </c>
    </row>
    <row r="358" spans="1:9" ht="141.75" customHeight="1">
      <c r="A358" s="14" t="s">
        <v>20</v>
      </c>
      <c r="B358" s="30" t="s">
        <v>33</v>
      </c>
      <c r="C358" s="53">
        <v>40</v>
      </c>
      <c r="D358" s="54">
        <v>2.64</v>
      </c>
      <c r="E358" s="54">
        <v>0.48</v>
      </c>
      <c r="F358" s="54">
        <v>13.6</v>
      </c>
      <c r="G358" s="54">
        <v>72.400000000000006</v>
      </c>
      <c r="H358" s="54">
        <v>0</v>
      </c>
      <c r="I358" s="55" t="s">
        <v>20</v>
      </c>
    </row>
    <row r="359" spans="1:9">
      <c r="A359" s="27"/>
      <c r="B359" s="58" t="s">
        <v>34</v>
      </c>
      <c r="C359" s="53">
        <v>593</v>
      </c>
      <c r="D359" s="79">
        <f>SUM(D352:D358)</f>
        <v>17.71</v>
      </c>
      <c r="E359" s="79">
        <f>SUM(E352:E358)</f>
        <v>16.600000000000001</v>
      </c>
      <c r="F359" s="79">
        <f>SUM(F352:F358)</f>
        <v>70.44</v>
      </c>
      <c r="G359" s="79">
        <f>SUM(G352:G358)</f>
        <v>512.95000000000005</v>
      </c>
      <c r="H359" s="79">
        <f>SUM(H352:H358)</f>
        <v>14.989999999999998</v>
      </c>
      <c r="I359" s="59"/>
    </row>
    <row r="360" spans="1:9">
      <c r="A360" s="14"/>
      <c r="B360" s="148" t="s">
        <v>35</v>
      </c>
      <c r="C360" s="149"/>
      <c r="D360" s="149"/>
      <c r="E360" s="149"/>
      <c r="F360" s="149"/>
      <c r="G360" s="149"/>
      <c r="H360" s="149"/>
      <c r="I360" s="150"/>
    </row>
    <row r="361" spans="1:9" ht="140.4">
      <c r="A361" s="14"/>
      <c r="B361" s="85" t="s">
        <v>153</v>
      </c>
      <c r="C361" s="25" t="s">
        <v>83</v>
      </c>
      <c r="D361" s="54">
        <v>3.09</v>
      </c>
      <c r="E361" s="54">
        <v>0.32</v>
      </c>
      <c r="F361" s="54">
        <v>26.56</v>
      </c>
      <c r="G361" s="54">
        <v>120</v>
      </c>
      <c r="H361" s="54">
        <v>0.02</v>
      </c>
      <c r="I361" s="55">
        <v>87</v>
      </c>
    </row>
    <row r="362" spans="1:9" ht="141.75" customHeight="1">
      <c r="A362" s="14"/>
      <c r="B362" s="30" t="s">
        <v>38</v>
      </c>
      <c r="C362" s="25" t="s">
        <v>39</v>
      </c>
      <c r="D362" s="54">
        <v>5.22</v>
      </c>
      <c r="E362" s="54">
        <v>4.5</v>
      </c>
      <c r="F362" s="54">
        <v>7.2</v>
      </c>
      <c r="G362" s="54">
        <v>95.4</v>
      </c>
      <c r="H362" s="54">
        <v>1.26</v>
      </c>
      <c r="I362" s="55" t="s">
        <v>40</v>
      </c>
    </row>
    <row r="363" spans="1:9">
      <c r="A363" s="14"/>
      <c r="B363" s="30" t="s">
        <v>34</v>
      </c>
      <c r="C363" s="57">
        <f t="shared" ref="C363:H363" si="24">C361+C362</f>
        <v>230</v>
      </c>
      <c r="D363" s="54">
        <f t="shared" si="24"/>
        <v>8.3099999999999987</v>
      </c>
      <c r="E363" s="54">
        <f t="shared" si="24"/>
        <v>4.82</v>
      </c>
      <c r="F363" s="54">
        <f t="shared" si="24"/>
        <v>33.76</v>
      </c>
      <c r="G363" s="54">
        <f t="shared" si="24"/>
        <v>215.4</v>
      </c>
      <c r="H363" s="54">
        <f t="shared" si="24"/>
        <v>1.28</v>
      </c>
      <c r="I363" s="54"/>
    </row>
    <row r="364" spans="1:9">
      <c r="A364" s="6"/>
      <c r="B364" s="148" t="s">
        <v>41</v>
      </c>
      <c r="C364" s="149"/>
      <c r="D364" s="149"/>
      <c r="E364" s="149"/>
      <c r="F364" s="149"/>
      <c r="G364" s="149"/>
      <c r="H364" s="149"/>
      <c r="I364" s="150"/>
    </row>
    <row r="365" spans="1:9">
      <c r="A365" s="14">
        <v>49</v>
      </c>
      <c r="B365" s="30" t="s">
        <v>109</v>
      </c>
      <c r="C365" s="25" t="s">
        <v>110</v>
      </c>
      <c r="D365" s="54">
        <v>9.65</v>
      </c>
      <c r="E365" s="54">
        <v>9.8000000000000007</v>
      </c>
      <c r="F365" s="54">
        <v>12.06</v>
      </c>
      <c r="G365" s="54">
        <v>187</v>
      </c>
      <c r="H365" s="54">
        <v>33.22</v>
      </c>
      <c r="I365" s="55">
        <v>60</v>
      </c>
    </row>
    <row r="366" spans="1:9">
      <c r="A366" s="14" t="s">
        <v>20</v>
      </c>
      <c r="B366" s="30" t="s">
        <v>32</v>
      </c>
      <c r="C366" s="53">
        <v>20</v>
      </c>
      <c r="D366" s="54">
        <v>1.52</v>
      </c>
      <c r="E366" s="54">
        <v>0.16</v>
      </c>
      <c r="F366" s="54">
        <v>9.84</v>
      </c>
      <c r="G366" s="54">
        <v>47</v>
      </c>
      <c r="H366" s="54">
        <v>0</v>
      </c>
      <c r="I366" s="55" t="s">
        <v>20</v>
      </c>
    </row>
    <row r="367" spans="1:9" ht="140.4">
      <c r="A367" s="14"/>
      <c r="B367" s="30" t="s">
        <v>154</v>
      </c>
      <c r="C367" s="25" t="s">
        <v>57</v>
      </c>
      <c r="D367" s="54">
        <v>1.2</v>
      </c>
      <c r="E367" s="54">
        <v>0.4</v>
      </c>
      <c r="F367" s="54">
        <v>16.8</v>
      </c>
      <c r="G367" s="54">
        <v>76.8</v>
      </c>
      <c r="H367" s="54">
        <v>8</v>
      </c>
      <c r="I367" s="55">
        <v>76</v>
      </c>
    </row>
    <row r="368" spans="1:9">
      <c r="A368" s="47">
        <v>59</v>
      </c>
      <c r="B368" s="58" t="s">
        <v>14</v>
      </c>
      <c r="C368" s="53">
        <v>180</v>
      </c>
      <c r="D368" s="54">
        <v>0</v>
      </c>
      <c r="E368" s="54">
        <v>0</v>
      </c>
      <c r="F368" s="54">
        <v>6.05</v>
      </c>
      <c r="G368" s="54">
        <v>25</v>
      </c>
      <c r="H368" s="54">
        <v>0</v>
      </c>
      <c r="I368" s="59">
        <v>13</v>
      </c>
    </row>
    <row r="369" spans="1:10">
      <c r="A369" s="14"/>
      <c r="B369" s="30" t="s">
        <v>34</v>
      </c>
      <c r="C369" s="53">
        <f t="shared" ref="C369:H369" si="25">C365+C366+C367+C368</f>
        <v>530</v>
      </c>
      <c r="D369" s="54">
        <f t="shared" si="25"/>
        <v>12.37</v>
      </c>
      <c r="E369" s="54">
        <f t="shared" si="25"/>
        <v>10.360000000000001</v>
      </c>
      <c r="F369" s="54">
        <f t="shared" si="25"/>
        <v>44.75</v>
      </c>
      <c r="G369" s="54">
        <f t="shared" si="25"/>
        <v>335.8</v>
      </c>
      <c r="H369" s="54">
        <f t="shared" si="25"/>
        <v>41.22</v>
      </c>
      <c r="I369" s="55"/>
    </row>
    <row r="370" spans="1:10">
      <c r="A370" s="14"/>
      <c r="B370" s="30"/>
      <c r="C370" s="25"/>
      <c r="D370" s="60" t="s">
        <v>7</v>
      </c>
      <c r="E370" s="61" t="s">
        <v>8</v>
      </c>
      <c r="F370" s="61" t="s">
        <v>9</v>
      </c>
      <c r="G370" s="62" t="s">
        <v>46</v>
      </c>
      <c r="H370" s="61" t="s">
        <v>47</v>
      </c>
      <c r="I370" s="55"/>
    </row>
    <row r="371" spans="1:10">
      <c r="A371" s="14"/>
      <c r="B371" s="63" t="s">
        <v>155</v>
      </c>
      <c r="C371" s="25"/>
      <c r="D371" s="54">
        <f>SUM(D347+D350+D359+D369+D363)</f>
        <v>48.399999999999991</v>
      </c>
      <c r="E371" s="54">
        <f>SUM(E347+E350+E359+E369+E363)</f>
        <v>40.080000000000005</v>
      </c>
      <c r="F371" s="54">
        <f>SUM(F347+F350+F359+F369+F363)</f>
        <v>203.89</v>
      </c>
      <c r="G371" s="54">
        <f>SUM(G347+G350+G359+G369+G363)</f>
        <v>1402.15</v>
      </c>
      <c r="H371" s="54">
        <f>SUM(H347+H350+H359+H369+H363)</f>
        <v>61.97</v>
      </c>
      <c r="I371" s="55"/>
    </row>
    <row r="372" spans="1:10">
      <c r="A372" s="86"/>
      <c r="B372" s="87" t="s">
        <v>49</v>
      </c>
      <c r="C372" s="88"/>
      <c r="D372" s="89">
        <v>42</v>
      </c>
      <c r="E372" s="89">
        <v>47</v>
      </c>
      <c r="F372" s="89">
        <v>203</v>
      </c>
      <c r="G372" s="89">
        <v>1400</v>
      </c>
      <c r="H372" s="89">
        <v>45</v>
      </c>
      <c r="I372" s="90"/>
    </row>
    <row r="373" spans="1:10" ht="139.19999999999999">
      <c r="A373" s="33"/>
      <c r="B373" s="64" t="s">
        <v>50</v>
      </c>
      <c r="C373" s="61"/>
      <c r="D373" s="65">
        <f>D371*100/D372</f>
        <v>115.23809523809521</v>
      </c>
      <c r="E373" s="65">
        <f>E371*100/E372</f>
        <v>85.276595744680861</v>
      </c>
      <c r="F373" s="65">
        <f>F371*100/F372</f>
        <v>100.4384236453202</v>
      </c>
      <c r="G373" s="65">
        <f>G371*100/G372</f>
        <v>100.15357142857142</v>
      </c>
      <c r="H373" s="65">
        <f>H371*100/H372</f>
        <v>137.71111111111111</v>
      </c>
      <c r="I373" s="56"/>
    </row>
    <row r="374" spans="1:10">
      <c r="A374" s="35"/>
      <c r="B374" s="67"/>
      <c r="C374" s="68"/>
      <c r="D374" s="69"/>
      <c r="E374" s="69"/>
      <c r="F374" s="69"/>
      <c r="G374" s="69"/>
      <c r="H374" s="69"/>
      <c r="I374" s="70"/>
    </row>
    <row r="375" spans="1:10">
      <c r="A375" s="35"/>
      <c r="B375" s="71" t="s">
        <v>51</v>
      </c>
      <c r="C375" s="71"/>
      <c r="D375" s="71"/>
      <c r="E375" s="69"/>
      <c r="F375" s="69"/>
      <c r="G375" s="69"/>
      <c r="H375" s="69"/>
      <c r="I375" s="70"/>
    </row>
    <row r="376" spans="1:10" ht="71.25" customHeight="1">
      <c r="A376" s="35"/>
      <c r="B376" s="71" t="s">
        <v>52</v>
      </c>
      <c r="C376" s="72"/>
      <c r="D376" s="71"/>
      <c r="E376" s="71"/>
      <c r="F376" s="71"/>
      <c r="G376" s="71"/>
      <c r="H376" s="71"/>
      <c r="I376" s="70"/>
    </row>
    <row r="377" spans="1:10" ht="71.25" customHeight="1">
      <c r="A377" s="35"/>
      <c r="B377" s="67"/>
      <c r="C377" s="68"/>
      <c r="D377" s="69"/>
      <c r="E377" s="69"/>
      <c r="F377" s="69"/>
      <c r="G377" s="69"/>
      <c r="H377" s="69"/>
      <c r="I377" s="70"/>
    </row>
    <row r="378" spans="1:10">
      <c r="A378" s="35"/>
      <c r="B378" s="67"/>
      <c r="C378" s="68"/>
      <c r="D378" s="69"/>
      <c r="E378" s="69"/>
      <c r="F378" s="69"/>
      <c r="G378" s="69"/>
      <c r="H378" s="69"/>
      <c r="I378" s="70"/>
    </row>
    <row r="379" spans="1:10" ht="140.25" customHeight="1">
      <c r="A379" s="91"/>
      <c r="B379" s="145" t="s">
        <v>156</v>
      </c>
      <c r="C379" s="146"/>
      <c r="D379" s="146"/>
      <c r="E379" s="146"/>
      <c r="F379" s="146"/>
      <c r="G379" s="146"/>
      <c r="H379" s="146"/>
      <c r="I379" s="147"/>
    </row>
    <row r="380" spans="1:10">
      <c r="A380" s="152"/>
      <c r="B380" s="170"/>
      <c r="C380" s="175"/>
      <c r="D380" s="151" t="s">
        <v>3</v>
      </c>
      <c r="E380" s="172"/>
      <c r="F380" s="171"/>
      <c r="G380" s="151" t="s">
        <v>4</v>
      </c>
      <c r="H380" s="151" t="s">
        <v>5</v>
      </c>
      <c r="I380" s="169"/>
    </row>
    <row r="381" spans="1:10">
      <c r="A381" s="153"/>
      <c r="B381" s="170"/>
      <c r="C381" s="175"/>
      <c r="D381" s="60" t="s">
        <v>7</v>
      </c>
      <c r="E381" s="61" t="s">
        <v>8</v>
      </c>
      <c r="F381" s="61" t="s">
        <v>9</v>
      </c>
      <c r="G381" s="151"/>
      <c r="H381" s="170"/>
      <c r="I381" s="171"/>
    </row>
    <row r="382" spans="1:10" s="92" customFormat="1">
      <c r="A382" s="10"/>
      <c r="B382" s="93" t="s">
        <v>157</v>
      </c>
      <c r="C382" s="94"/>
      <c r="D382" s="79">
        <f>SUM(D31+D71+D108+D146+D183+D219+D255+D292+D334+D371)</f>
        <v>555.4</v>
      </c>
      <c r="E382" s="79">
        <f>SUM(E31+E71+E108+E146+E183+E219+E255+E292+E334+E371)</f>
        <v>520.99</v>
      </c>
      <c r="F382" s="79">
        <f>SUM(F31+F71+F108+F146+F183+F219+F255+F292+F334+F371)</f>
        <v>2028.6399999999999</v>
      </c>
      <c r="G382" s="79">
        <f>SUM(G31+G71+G108+G146+G183+G219+G255+G292+G334+G371)</f>
        <v>15250.98</v>
      </c>
      <c r="H382" s="173">
        <f>SUM(H31+H71+H108+H146+H183+H219+H255+H292+H334+H371)</f>
        <v>623.64</v>
      </c>
      <c r="I382" s="174"/>
      <c r="J382" s="1"/>
    </row>
    <row r="383" spans="1:10">
      <c r="A383" s="10"/>
      <c r="B383" s="93" t="s">
        <v>158</v>
      </c>
      <c r="C383" s="94"/>
      <c r="D383" s="54">
        <f>D382/10</f>
        <v>55.54</v>
      </c>
      <c r="E383" s="54">
        <f>E382/10</f>
        <v>52.099000000000004</v>
      </c>
      <c r="F383" s="54">
        <f>F382/10</f>
        <v>202.86399999999998</v>
      </c>
      <c r="G383" s="54">
        <f>G382/10</f>
        <v>1525.098</v>
      </c>
      <c r="H383" s="173">
        <f>H382/10</f>
        <v>62.363999999999997</v>
      </c>
      <c r="I383" s="174"/>
    </row>
    <row r="384" spans="1:10">
      <c r="A384" s="10"/>
      <c r="B384" s="93" t="s">
        <v>159</v>
      </c>
      <c r="C384" s="94"/>
      <c r="D384" s="54">
        <v>42</v>
      </c>
      <c r="E384" s="54">
        <v>47</v>
      </c>
      <c r="F384" s="54">
        <v>203</v>
      </c>
      <c r="G384" s="54">
        <v>1400</v>
      </c>
      <c r="H384" s="173">
        <v>45</v>
      </c>
      <c r="I384" s="174"/>
    </row>
    <row r="385" spans="1:15" ht="139.19999999999999">
      <c r="A385" s="10"/>
      <c r="B385" s="93" t="s">
        <v>50</v>
      </c>
      <c r="C385" s="94"/>
      <c r="D385" s="54">
        <f>D383*100/D384</f>
        <v>132.23809523809524</v>
      </c>
      <c r="E385" s="54">
        <f>E383*100/E384</f>
        <v>110.84893617021278</v>
      </c>
      <c r="F385" s="54">
        <f>F383*100/F384</f>
        <v>99.933004926108367</v>
      </c>
      <c r="G385" s="54">
        <f>G383*100/G384</f>
        <v>108.93557142857142</v>
      </c>
      <c r="H385" s="173">
        <f>H383*100/H384</f>
        <v>138.58666666666664</v>
      </c>
      <c r="I385" s="174"/>
    </row>
    <row r="386" spans="1:15">
      <c r="A386" s="36"/>
      <c r="B386" s="67"/>
      <c r="C386" s="67"/>
      <c r="D386" s="69"/>
      <c r="E386" s="69"/>
      <c r="F386" s="69"/>
      <c r="G386" s="69"/>
      <c r="H386" s="69"/>
      <c r="I386" s="67"/>
    </row>
    <row r="387" spans="1:15">
      <c r="A387" s="1"/>
      <c r="B387" s="71"/>
      <c r="C387" s="71"/>
      <c r="D387" s="71"/>
      <c r="E387" s="71"/>
      <c r="F387" s="71"/>
      <c r="G387" s="71"/>
      <c r="H387" s="71"/>
      <c r="I387" s="71"/>
    </row>
    <row r="388" spans="1:15">
      <c r="B388" s="71"/>
      <c r="C388" s="72"/>
      <c r="D388" s="71"/>
      <c r="E388" s="71"/>
      <c r="F388" s="71"/>
      <c r="G388" s="71"/>
      <c r="H388" s="71"/>
      <c r="I388" s="95"/>
    </row>
    <row r="389" spans="1:15" hidden="1">
      <c r="B389" s="71"/>
      <c r="C389" s="72"/>
      <c r="D389" s="71"/>
      <c r="E389" s="71"/>
      <c r="F389" s="71"/>
      <c r="G389" s="71"/>
      <c r="H389" s="71"/>
      <c r="I389" s="95"/>
    </row>
    <row r="390" spans="1:15" hidden="1">
      <c r="B390" s="71"/>
      <c r="C390" s="96"/>
      <c r="D390" s="97" t="s">
        <v>160</v>
      </c>
      <c r="E390" s="97" t="s">
        <v>161</v>
      </c>
      <c r="F390" s="97" t="s">
        <v>162</v>
      </c>
      <c r="G390" s="97" t="s">
        <v>163</v>
      </c>
      <c r="H390" s="97" t="s">
        <v>164</v>
      </c>
      <c r="I390" s="95"/>
    </row>
    <row r="391" spans="1:15" hidden="1">
      <c r="B391" s="71"/>
      <c r="C391" s="96"/>
      <c r="D391" s="97">
        <v>20</v>
      </c>
      <c r="E391" s="97">
        <v>5</v>
      </c>
      <c r="F391" s="97">
        <v>35</v>
      </c>
      <c r="G391" s="97">
        <v>15</v>
      </c>
      <c r="H391" s="97">
        <v>25</v>
      </c>
      <c r="I391" s="95"/>
    </row>
    <row r="392" spans="1:15" hidden="1">
      <c r="B392" s="71"/>
      <c r="C392" s="98" t="s">
        <v>165</v>
      </c>
      <c r="D392" s="97">
        <f>G269*100/G292</f>
        <v>24.047982798619365</v>
      </c>
      <c r="E392" s="97">
        <f>G272*100/G292</f>
        <v>3.2535506139308552</v>
      </c>
      <c r="F392" s="97">
        <f>G281*100/G292</f>
        <v>34.174305437673283</v>
      </c>
      <c r="G392" s="97">
        <f>G285*100/G292</f>
        <v>12.147767781361399</v>
      </c>
      <c r="H392" s="97">
        <f>G290*100/G292</f>
        <v>26.376393368415098</v>
      </c>
      <c r="I392" s="95"/>
      <c r="O392" s="1">
        <f t="shared" ref="O392:O405" si="26">D392+E392+F392+G392+H392</f>
        <v>100</v>
      </c>
    </row>
    <row r="393" spans="1:15" hidden="1">
      <c r="B393" s="71"/>
      <c r="C393" s="98" t="s">
        <v>166</v>
      </c>
      <c r="D393" s="97">
        <f>G196*100/G219</f>
        <v>18.870693812509174</v>
      </c>
      <c r="E393" s="97">
        <f>G199*100/G219</f>
        <v>3.2150070939830444</v>
      </c>
      <c r="F393" s="97">
        <f>G208*100/G219</f>
        <v>31.854430070101134</v>
      </c>
      <c r="G393" s="97">
        <f>G212*100/G219</f>
        <v>12.003858008512781</v>
      </c>
      <c r="H393" s="97">
        <f>G217*100/G219</f>
        <v>34.056011014893876</v>
      </c>
      <c r="I393" s="95"/>
      <c r="O393" s="1">
        <f t="shared" si="26"/>
        <v>100</v>
      </c>
    </row>
    <row r="394" spans="1:15" hidden="1">
      <c r="B394" s="99"/>
      <c r="C394" s="98" t="s">
        <v>167</v>
      </c>
      <c r="D394" s="97">
        <f>G159*100/G183</f>
        <v>17.689310477897699</v>
      </c>
      <c r="E394" s="97">
        <f>G162*100/G183</f>
        <v>2.8631537015597965</v>
      </c>
      <c r="F394" s="97">
        <f>G171*100/G183</f>
        <v>37.141327756407861</v>
      </c>
      <c r="G394" s="97">
        <f>G175*100/G183</f>
        <v>21.405186042748131</v>
      </c>
      <c r="H394" s="97">
        <f>G181*100/G183</f>
        <v>20.901022021386513</v>
      </c>
      <c r="I394" s="100"/>
      <c r="O394" s="1">
        <f t="shared" si="26"/>
        <v>100</v>
      </c>
    </row>
    <row r="395" spans="1:15" hidden="1">
      <c r="B395" s="99"/>
      <c r="C395" s="98" t="s">
        <v>168</v>
      </c>
      <c r="D395" s="97">
        <f>G232*100/G255</f>
        <v>16.971437004440745</v>
      </c>
      <c r="E395" s="97">
        <f>G235*100/G255</f>
        <v>3.0857158189892262</v>
      </c>
      <c r="F395" s="97">
        <f>G243*100/G255</f>
        <v>34.663321571836804</v>
      </c>
      <c r="G395" s="97">
        <f>G247*100/G255</f>
        <v>25.047962756751676</v>
      </c>
      <c r="H395" s="97">
        <f>G253*100/G255</f>
        <v>20.231562847981539</v>
      </c>
      <c r="I395" s="100"/>
      <c r="O395" s="1">
        <f t="shared" si="26"/>
        <v>99.999999999999986</v>
      </c>
    </row>
    <row r="396" spans="1:15" hidden="1">
      <c r="B396" s="99"/>
      <c r="C396" s="98" t="s">
        <v>169</v>
      </c>
      <c r="D396" s="97">
        <f>G307*100/G334</f>
        <v>25.146198830409357</v>
      </c>
      <c r="E396" s="97">
        <f>G310*100/G334</f>
        <v>2.7449576321756775</v>
      </c>
      <c r="F396" s="97">
        <f>G320*100/G334</f>
        <v>27.571905955364599</v>
      </c>
      <c r="G396" s="97">
        <f>G324*100/G334</f>
        <v>15.592552810597924</v>
      </c>
      <c r="H396" s="97">
        <f>G332*100/G334</f>
        <v>28.944384771452441</v>
      </c>
      <c r="I396" s="100"/>
      <c r="O396" s="1">
        <f t="shared" si="26"/>
        <v>100</v>
      </c>
    </row>
    <row r="397" spans="1:15" hidden="1">
      <c r="B397" s="99"/>
      <c r="C397" s="98" t="s">
        <v>34</v>
      </c>
      <c r="D397" s="97">
        <f>D392+D393+D394+D395+D396</f>
        <v>102.72562292387634</v>
      </c>
      <c r="E397" s="97">
        <f>E392+E393+E394+E395+E396</f>
        <v>15.1623848606386</v>
      </c>
      <c r="F397" s="97">
        <f>F392+F393+F394+F395+F396</f>
        <v>165.40529079138369</v>
      </c>
      <c r="G397" s="97">
        <f>G392+G393+G394+G395+G396</f>
        <v>86.197327399971911</v>
      </c>
      <c r="H397" s="97">
        <f>H392+H393+H394+H395+H396</f>
        <v>130.50937402412947</v>
      </c>
      <c r="I397" s="100"/>
      <c r="O397" s="1">
        <f t="shared" si="26"/>
        <v>500</v>
      </c>
    </row>
    <row r="398" spans="1:15" hidden="1">
      <c r="B398" s="99"/>
      <c r="C398" s="98" t="s">
        <v>170</v>
      </c>
      <c r="D398" s="97">
        <f>D397/5</f>
        <v>20.545124584775269</v>
      </c>
      <c r="E398" s="97">
        <f>E397/5</f>
        <v>3.03247697212772</v>
      </c>
      <c r="F398" s="97">
        <f>F397/5</f>
        <v>33.08105815827674</v>
      </c>
      <c r="G398" s="97">
        <f>G397/5</f>
        <v>17.239465479994383</v>
      </c>
      <c r="H398" s="97">
        <f>H397/5</f>
        <v>26.101874804825894</v>
      </c>
      <c r="I398" s="100"/>
      <c r="O398" s="1">
        <f t="shared" si="26"/>
        <v>100.00000000000001</v>
      </c>
    </row>
    <row r="399" spans="1:15" hidden="1">
      <c r="B399" s="99"/>
      <c r="C399" s="98" t="s">
        <v>171</v>
      </c>
      <c r="D399" s="97">
        <f>G121*100/G146</f>
        <v>17.996027174623734</v>
      </c>
      <c r="E399" s="97">
        <f>G124*100/G146</f>
        <v>2.8644195502861307</v>
      </c>
      <c r="F399" s="97">
        <f>G133*100/G146</f>
        <v>36.596695954318733</v>
      </c>
      <c r="G399" s="97">
        <f>G137*100/G146</f>
        <v>20.449464789434028</v>
      </c>
      <c r="H399" s="97">
        <f>G144*100/G146</f>
        <v>22.093392531337376</v>
      </c>
      <c r="I399" s="100"/>
      <c r="O399" s="1">
        <f t="shared" si="26"/>
        <v>100</v>
      </c>
    </row>
    <row r="400" spans="1:15" hidden="1">
      <c r="B400" s="99"/>
      <c r="C400" s="98" t="s">
        <v>172</v>
      </c>
      <c r="D400" s="97">
        <f>G8*100/G31</f>
        <v>20.537830133598931</v>
      </c>
      <c r="E400" s="97">
        <f>G11*100/G31</f>
        <v>3.1596661743998355</v>
      </c>
      <c r="F400" s="97">
        <f>G19*100/G31</f>
        <v>38.743689253700587</v>
      </c>
      <c r="G400" s="97">
        <f>G23*100/G31</f>
        <v>10.04911220249339</v>
      </c>
      <c r="H400" s="97">
        <f>G29*100/G31</f>
        <v>27.509702235807261</v>
      </c>
      <c r="I400" s="100"/>
      <c r="O400" s="1">
        <f t="shared" si="26"/>
        <v>100</v>
      </c>
    </row>
    <row r="401" spans="1:15" hidden="1">
      <c r="B401" s="99"/>
      <c r="C401" s="98" t="s">
        <v>173</v>
      </c>
      <c r="D401" s="97">
        <f>G347*100/G371</f>
        <v>20.82516135934101</v>
      </c>
      <c r="E401" s="97">
        <f>G350*100/G371</f>
        <v>3.2806761045537209</v>
      </c>
      <c r="F401" s="97">
        <f>G359*100/G371</f>
        <v>36.583104518061553</v>
      </c>
      <c r="G401" s="97">
        <f>G363*100/G371</f>
        <v>15.362122454801554</v>
      </c>
      <c r="H401" s="97">
        <f>G369*100/G371</f>
        <v>23.948935563242163</v>
      </c>
      <c r="I401" s="100"/>
      <c r="O401" s="1">
        <f t="shared" si="26"/>
        <v>100</v>
      </c>
    </row>
    <row r="402" spans="1:15" hidden="1">
      <c r="B402" s="99"/>
      <c r="C402" s="98" t="s">
        <v>174</v>
      </c>
      <c r="D402" s="97">
        <f>G84*100/G108</f>
        <v>18.844581624779188</v>
      </c>
      <c r="E402" s="97">
        <f>G87*100/G108</f>
        <v>2.9335050921822088</v>
      </c>
      <c r="F402" s="97">
        <f>G95*100/G108</f>
        <v>38.247166935571293</v>
      </c>
      <c r="G402" s="97">
        <f>G99*100/G108</f>
        <v>14.387567040157133</v>
      </c>
      <c r="H402" s="97">
        <f>G106*100/G108</f>
        <v>25.587179307310166</v>
      </c>
      <c r="I402" s="100"/>
      <c r="O402" s="1">
        <f t="shared" si="26"/>
        <v>99.999999999999986</v>
      </c>
    </row>
    <row r="403" spans="1:15" hidden="1">
      <c r="B403" s="99"/>
      <c r="C403" s="98" t="s">
        <v>175</v>
      </c>
      <c r="D403" s="97">
        <f>G45*100/G71</f>
        <v>24.943947938720576</v>
      </c>
      <c r="E403" s="97">
        <f>G48*100/G71</f>
        <v>2.8728633079147383</v>
      </c>
      <c r="F403" s="97">
        <f>G57*100/G71</f>
        <v>36.91879164871127</v>
      </c>
      <c r="G403" s="97">
        <f>G61*100/G71</f>
        <v>10.726397242051224</v>
      </c>
      <c r="H403" s="97">
        <f>G69*100/G71</f>
        <v>24.537999862602188</v>
      </c>
      <c r="I403" s="100"/>
      <c r="O403" s="1">
        <f t="shared" si="26"/>
        <v>100</v>
      </c>
    </row>
    <row r="404" spans="1:15" hidden="1">
      <c r="B404" s="99"/>
      <c r="C404" s="98" t="s">
        <v>34</v>
      </c>
      <c r="D404" s="97">
        <f>D399+D400+D401+D402+D403</f>
        <v>103.14754823106344</v>
      </c>
      <c r="E404" s="97">
        <f>E399+E400+E401+E402+E403</f>
        <v>15.111130229336634</v>
      </c>
      <c r="F404" s="97">
        <f>F399+F400+F401+F402+F403</f>
        <v>187.08944831036345</v>
      </c>
      <c r="G404" s="97">
        <f>G399+G400+G401+G402+G403</f>
        <v>70.97466372893733</v>
      </c>
      <c r="H404" s="97">
        <f>H399+H400+H401+H402+H403</f>
        <v>123.67720950029916</v>
      </c>
      <c r="I404" s="100"/>
      <c r="O404" s="1">
        <f t="shared" si="26"/>
        <v>500.00000000000006</v>
      </c>
    </row>
    <row r="405" spans="1:15" hidden="1">
      <c r="B405" s="99"/>
      <c r="C405" s="98" t="s">
        <v>170</v>
      </c>
      <c r="D405" s="97">
        <f>D404/5</f>
        <v>20.629509646212689</v>
      </c>
      <c r="E405" s="97">
        <f>E404/5</f>
        <v>3.0222260458673267</v>
      </c>
      <c r="F405" s="97">
        <f>F404/5</f>
        <v>37.417889662072689</v>
      </c>
      <c r="G405" s="97">
        <f>G404/5</f>
        <v>14.194932745787465</v>
      </c>
      <c r="H405" s="97">
        <f>H404/5</f>
        <v>24.735441900059833</v>
      </c>
      <c r="I405" s="100"/>
      <c r="O405" s="1">
        <f t="shared" si="26"/>
        <v>100</v>
      </c>
    </row>
    <row r="406" spans="1:15" hidden="1">
      <c r="A406" s="1"/>
      <c r="B406" s="99"/>
      <c r="C406" s="71"/>
      <c r="D406" s="71"/>
      <c r="E406" s="71"/>
      <c r="F406" s="71"/>
      <c r="G406" s="71"/>
      <c r="H406" s="71"/>
      <c r="I406" s="101"/>
    </row>
    <row r="407" spans="1:15" hidden="1">
      <c r="B407" s="99"/>
      <c r="C407" s="72"/>
      <c r="D407" s="71"/>
      <c r="E407" s="71"/>
      <c r="F407" s="71"/>
      <c r="G407" s="71"/>
      <c r="H407" s="71"/>
      <c r="I407" s="100"/>
    </row>
    <row r="408" spans="1:15" hidden="1">
      <c r="B408" s="99"/>
      <c r="C408" s="71"/>
      <c r="D408" s="102" t="str">
        <f>D390</f>
        <v>завтрак</v>
      </c>
      <c r="E408" s="102" t="str">
        <f>E390</f>
        <v>2 зав</v>
      </c>
      <c r="F408" s="102" t="str">
        <f>F390</f>
        <v>обед</v>
      </c>
      <c r="G408" s="102" t="str">
        <f>G390</f>
        <v>полдник</v>
      </c>
      <c r="H408" s="102" t="str">
        <f>H390</f>
        <v>ужин</v>
      </c>
      <c r="I408" s="100"/>
    </row>
    <row r="409" spans="1:15" hidden="1">
      <c r="B409" s="99"/>
      <c r="C409" s="71" t="str">
        <f t="shared" ref="C409:H418" si="27">C392</f>
        <v>1</v>
      </c>
      <c r="D409" s="71">
        <f t="shared" si="27"/>
        <v>24.047982798619365</v>
      </c>
      <c r="E409" s="71">
        <f t="shared" si="27"/>
        <v>3.2535506139308552</v>
      </c>
      <c r="F409" s="71">
        <f t="shared" si="27"/>
        <v>34.174305437673283</v>
      </c>
      <c r="G409" s="71">
        <f t="shared" si="27"/>
        <v>12.147767781361399</v>
      </c>
      <c r="H409" s="71">
        <f t="shared" si="27"/>
        <v>26.376393368415098</v>
      </c>
      <c r="I409" s="100"/>
      <c r="J409" s="103"/>
    </row>
    <row r="410" spans="1:15" hidden="1">
      <c r="B410" s="99"/>
      <c r="C410" s="71" t="str">
        <f t="shared" si="27"/>
        <v>2</v>
      </c>
      <c r="D410" s="71">
        <f t="shared" si="27"/>
        <v>18.870693812509174</v>
      </c>
      <c r="E410" s="71">
        <f t="shared" si="27"/>
        <v>3.2150070939830444</v>
      </c>
      <c r="F410" s="71">
        <f t="shared" si="27"/>
        <v>31.854430070101134</v>
      </c>
      <c r="G410" s="71">
        <f t="shared" si="27"/>
        <v>12.003858008512781</v>
      </c>
      <c r="H410" s="71">
        <f t="shared" si="27"/>
        <v>34.056011014893876</v>
      </c>
      <c r="I410" s="100"/>
    </row>
    <row r="411" spans="1:15" hidden="1">
      <c r="B411" s="99"/>
      <c r="C411" s="71" t="str">
        <f t="shared" si="27"/>
        <v>3</v>
      </c>
      <c r="D411" s="71">
        <f t="shared" si="27"/>
        <v>17.689310477897699</v>
      </c>
      <c r="E411" s="71">
        <f t="shared" si="27"/>
        <v>2.8631537015597965</v>
      </c>
      <c r="F411" s="71">
        <f t="shared" si="27"/>
        <v>37.141327756407861</v>
      </c>
      <c r="G411" s="71">
        <f t="shared" si="27"/>
        <v>21.405186042748131</v>
      </c>
      <c r="H411" s="71">
        <f t="shared" si="27"/>
        <v>20.901022021386513</v>
      </c>
      <c r="I411" s="100"/>
    </row>
    <row r="412" spans="1:15" hidden="1">
      <c r="B412" s="99"/>
      <c r="C412" s="71" t="str">
        <f t="shared" si="27"/>
        <v>4</v>
      </c>
      <c r="D412" s="71">
        <f t="shared" si="27"/>
        <v>16.971437004440745</v>
      </c>
      <c r="E412" s="71">
        <f t="shared" si="27"/>
        <v>3.0857158189892262</v>
      </c>
      <c r="F412" s="71">
        <f t="shared" si="27"/>
        <v>34.663321571836804</v>
      </c>
      <c r="G412" s="71">
        <f t="shared" si="27"/>
        <v>25.047962756751676</v>
      </c>
      <c r="H412" s="71">
        <f t="shared" si="27"/>
        <v>20.231562847981539</v>
      </c>
      <c r="I412" s="100"/>
    </row>
    <row r="413" spans="1:15" s="48" customFormat="1" hidden="1">
      <c r="A413" s="2"/>
      <c r="B413" s="99"/>
      <c r="C413" s="71" t="str">
        <f t="shared" si="27"/>
        <v>5</v>
      </c>
      <c r="D413" s="71">
        <f t="shared" si="27"/>
        <v>25.146198830409357</v>
      </c>
      <c r="E413" s="71">
        <f t="shared" si="27"/>
        <v>2.7449576321756775</v>
      </c>
      <c r="F413" s="71">
        <f t="shared" si="27"/>
        <v>27.571905955364599</v>
      </c>
      <c r="G413" s="71">
        <f t="shared" si="27"/>
        <v>15.592552810597924</v>
      </c>
      <c r="H413" s="71">
        <f t="shared" si="27"/>
        <v>28.944384771452441</v>
      </c>
      <c r="I413" s="100"/>
      <c r="J413" s="1"/>
      <c r="K413" s="1"/>
    </row>
    <row r="414" spans="1:15" hidden="1">
      <c r="B414" s="99"/>
      <c r="C414" s="71" t="str">
        <f t="shared" si="27"/>
        <v>Итого</v>
      </c>
      <c r="D414" s="71">
        <f t="shared" si="27"/>
        <v>102.72562292387634</v>
      </c>
      <c r="E414" s="71">
        <f t="shared" si="27"/>
        <v>15.1623848606386</v>
      </c>
      <c r="F414" s="71">
        <f t="shared" si="27"/>
        <v>165.40529079138369</v>
      </c>
      <c r="G414" s="71">
        <f t="shared" si="27"/>
        <v>86.197327399971911</v>
      </c>
      <c r="H414" s="71">
        <f t="shared" si="27"/>
        <v>130.50937402412947</v>
      </c>
      <c r="I414" s="100"/>
    </row>
    <row r="415" spans="1:15" hidden="1">
      <c r="B415" s="99"/>
      <c r="C415" s="71" t="str">
        <f t="shared" si="27"/>
        <v>Ср.знач.</v>
      </c>
      <c r="D415" s="71">
        <f t="shared" si="27"/>
        <v>20.545124584775269</v>
      </c>
      <c r="E415" s="71">
        <f t="shared" si="27"/>
        <v>3.03247697212772</v>
      </c>
      <c r="F415" s="71">
        <f t="shared" si="27"/>
        <v>33.08105815827674</v>
      </c>
      <c r="G415" s="71">
        <f t="shared" si="27"/>
        <v>17.239465479994383</v>
      </c>
      <c r="H415" s="71">
        <f t="shared" si="27"/>
        <v>26.101874804825894</v>
      </c>
      <c r="I415" s="100"/>
    </row>
    <row r="416" spans="1:15" hidden="1">
      <c r="B416" s="99"/>
      <c r="C416" s="71" t="str">
        <f t="shared" si="27"/>
        <v>6</v>
      </c>
      <c r="D416" s="71">
        <f t="shared" si="27"/>
        <v>17.996027174623734</v>
      </c>
      <c r="E416" s="71">
        <f t="shared" si="27"/>
        <v>2.8644195502861307</v>
      </c>
      <c r="F416" s="71">
        <f t="shared" si="27"/>
        <v>36.596695954318733</v>
      </c>
      <c r="G416" s="71">
        <f t="shared" si="27"/>
        <v>20.449464789434028</v>
      </c>
      <c r="H416" s="71">
        <f t="shared" si="27"/>
        <v>22.093392531337376</v>
      </c>
      <c r="I416" s="100"/>
    </row>
    <row r="417" spans="1:9" hidden="1">
      <c r="B417" s="99"/>
      <c r="C417" s="71" t="str">
        <f t="shared" si="27"/>
        <v>7</v>
      </c>
      <c r="D417" s="71">
        <f t="shared" si="27"/>
        <v>20.537830133598931</v>
      </c>
      <c r="E417" s="71">
        <f t="shared" si="27"/>
        <v>3.1596661743998355</v>
      </c>
      <c r="F417" s="71">
        <f t="shared" si="27"/>
        <v>38.743689253700587</v>
      </c>
      <c r="G417" s="71">
        <f t="shared" si="27"/>
        <v>10.04911220249339</v>
      </c>
      <c r="H417" s="71">
        <f t="shared" si="27"/>
        <v>27.509702235807261</v>
      </c>
      <c r="I417" s="100"/>
    </row>
    <row r="418" spans="1:9" hidden="1">
      <c r="B418" s="99"/>
      <c r="C418" s="71" t="str">
        <f t="shared" si="27"/>
        <v>8</v>
      </c>
      <c r="D418" s="71">
        <f t="shared" si="27"/>
        <v>20.82516135934101</v>
      </c>
      <c r="E418" s="71">
        <f t="shared" si="27"/>
        <v>3.2806761045537209</v>
      </c>
      <c r="F418" s="71">
        <f t="shared" si="27"/>
        <v>36.583104518061553</v>
      </c>
      <c r="G418" s="71">
        <f t="shared" si="27"/>
        <v>15.362122454801554</v>
      </c>
      <c r="H418" s="71">
        <f t="shared" si="27"/>
        <v>23.948935563242163</v>
      </c>
      <c r="I418" s="100"/>
    </row>
    <row r="419" spans="1:9" hidden="1">
      <c r="B419" s="99"/>
      <c r="C419" s="71" t="str">
        <f t="shared" ref="C419:H424" si="28">C402</f>
        <v>9</v>
      </c>
      <c r="D419" s="71">
        <f t="shared" si="28"/>
        <v>18.844581624779188</v>
      </c>
      <c r="E419" s="71">
        <f t="shared" si="28"/>
        <v>2.9335050921822088</v>
      </c>
      <c r="F419" s="71">
        <f t="shared" si="28"/>
        <v>38.247166935571293</v>
      </c>
      <c r="G419" s="71">
        <f t="shared" si="28"/>
        <v>14.387567040157133</v>
      </c>
      <c r="H419" s="71">
        <f t="shared" si="28"/>
        <v>25.587179307310166</v>
      </c>
      <c r="I419" s="100"/>
    </row>
    <row r="420" spans="1:9" hidden="1">
      <c r="B420" s="99"/>
      <c r="C420" s="71" t="str">
        <f t="shared" si="28"/>
        <v>10</v>
      </c>
      <c r="D420" s="71">
        <f t="shared" si="28"/>
        <v>24.943947938720576</v>
      </c>
      <c r="E420" s="71">
        <f t="shared" si="28"/>
        <v>2.8728633079147383</v>
      </c>
      <c r="F420" s="71">
        <f t="shared" si="28"/>
        <v>36.91879164871127</v>
      </c>
      <c r="G420" s="71">
        <f t="shared" si="28"/>
        <v>10.726397242051224</v>
      </c>
      <c r="H420" s="71">
        <f t="shared" si="28"/>
        <v>24.537999862602188</v>
      </c>
      <c r="I420" s="100"/>
    </row>
    <row r="421" spans="1:9" hidden="1">
      <c r="B421" s="99"/>
      <c r="C421" s="71" t="str">
        <f t="shared" si="28"/>
        <v>Итого</v>
      </c>
      <c r="D421" s="71">
        <f t="shared" si="28"/>
        <v>103.14754823106344</v>
      </c>
      <c r="E421" s="71">
        <f t="shared" si="28"/>
        <v>15.111130229336634</v>
      </c>
      <c r="F421" s="71">
        <f t="shared" si="28"/>
        <v>187.08944831036345</v>
      </c>
      <c r="G421" s="71">
        <f t="shared" si="28"/>
        <v>70.97466372893733</v>
      </c>
      <c r="H421" s="71">
        <f t="shared" si="28"/>
        <v>123.67720950029916</v>
      </c>
      <c r="I421" s="100"/>
    </row>
    <row r="422" spans="1:9" hidden="1">
      <c r="B422" s="99"/>
      <c r="C422" s="71" t="str">
        <f t="shared" si="28"/>
        <v>Ср.знач.</v>
      </c>
      <c r="D422" s="71">
        <f t="shared" si="28"/>
        <v>20.629509646212689</v>
      </c>
      <c r="E422" s="71">
        <f t="shared" si="28"/>
        <v>3.0222260458673267</v>
      </c>
      <c r="F422" s="71">
        <f t="shared" si="28"/>
        <v>37.417889662072689</v>
      </c>
      <c r="G422" s="71">
        <f t="shared" si="28"/>
        <v>14.194932745787465</v>
      </c>
      <c r="H422" s="71">
        <f t="shared" si="28"/>
        <v>24.735441900059833</v>
      </c>
      <c r="I422" s="100"/>
    </row>
    <row r="423" spans="1:9" hidden="1">
      <c r="B423" s="99"/>
      <c r="C423" s="71">
        <f t="shared" si="28"/>
        <v>0</v>
      </c>
      <c r="D423" s="71">
        <f t="shared" si="28"/>
        <v>0</v>
      </c>
      <c r="E423" s="71">
        <f t="shared" si="28"/>
        <v>0</v>
      </c>
      <c r="F423" s="71">
        <f t="shared" si="28"/>
        <v>0</v>
      </c>
      <c r="G423" s="71">
        <f t="shared" si="28"/>
        <v>0</v>
      </c>
      <c r="H423" s="71">
        <f t="shared" si="28"/>
        <v>0</v>
      </c>
      <c r="I423" s="100"/>
    </row>
    <row r="424" spans="1:9" hidden="1">
      <c r="B424" s="99"/>
      <c r="C424" s="71">
        <f t="shared" si="28"/>
        <v>0</v>
      </c>
      <c r="D424" s="71">
        <f t="shared" si="28"/>
        <v>0</v>
      </c>
      <c r="E424" s="71">
        <f t="shared" si="28"/>
        <v>0</v>
      </c>
      <c r="F424" s="71">
        <f t="shared" si="28"/>
        <v>0</v>
      </c>
      <c r="G424" s="71">
        <f t="shared" si="28"/>
        <v>0</v>
      </c>
      <c r="H424" s="71">
        <f t="shared" si="28"/>
        <v>0</v>
      </c>
      <c r="I424" s="100"/>
    </row>
    <row r="425" spans="1:9" hidden="1">
      <c r="B425" s="99"/>
      <c r="C425" s="71"/>
      <c r="D425" s="71"/>
      <c r="E425" s="71"/>
      <c r="F425" s="71"/>
      <c r="G425" s="71"/>
      <c r="H425" s="71"/>
      <c r="I425" s="100"/>
    </row>
    <row r="426" spans="1:9" hidden="1">
      <c r="B426" s="99"/>
      <c r="C426" s="71"/>
      <c r="D426" s="71"/>
      <c r="E426" s="71"/>
      <c r="F426" s="71"/>
      <c r="G426" s="71"/>
      <c r="H426" s="71"/>
      <c r="I426" s="100"/>
    </row>
    <row r="427" spans="1:9" hidden="1">
      <c r="B427" s="99"/>
      <c r="C427" s="71"/>
      <c r="D427" s="71"/>
      <c r="E427" s="71"/>
      <c r="F427" s="71"/>
      <c r="G427" s="71"/>
      <c r="H427" s="71"/>
      <c r="I427" s="100"/>
    </row>
    <row r="428" spans="1:9" hidden="1">
      <c r="B428" s="99"/>
      <c r="C428" s="71"/>
      <c r="D428" s="71"/>
      <c r="E428" s="71"/>
      <c r="F428" s="71"/>
      <c r="G428" s="71"/>
      <c r="H428" s="71"/>
      <c r="I428" s="100"/>
    </row>
    <row r="429" spans="1:9" hidden="1">
      <c r="B429" s="99"/>
      <c r="C429" s="71"/>
      <c r="D429" s="71"/>
      <c r="E429" s="71"/>
      <c r="F429" s="71"/>
      <c r="G429" s="71"/>
      <c r="H429" s="71"/>
      <c r="I429" s="100"/>
    </row>
    <row r="430" spans="1:9" hidden="1">
      <c r="B430" s="99"/>
      <c r="C430" s="72"/>
      <c r="D430" s="71"/>
      <c r="E430" s="71"/>
      <c r="F430" s="71"/>
      <c r="G430" s="71"/>
      <c r="H430" s="71"/>
      <c r="I430" s="100"/>
    </row>
    <row r="431" spans="1:9" hidden="1">
      <c r="B431" s="99"/>
      <c r="C431" s="72"/>
      <c r="D431" s="71"/>
      <c r="E431" s="71"/>
      <c r="F431" s="71"/>
      <c r="G431" s="71"/>
      <c r="H431" s="71"/>
      <c r="I431" s="100"/>
    </row>
    <row r="432" spans="1:9" hidden="1">
      <c r="A432" s="1"/>
      <c r="B432" s="99"/>
      <c r="C432" s="71"/>
      <c r="D432" s="71"/>
      <c r="E432" s="71"/>
      <c r="F432" s="71"/>
      <c r="G432" s="71"/>
      <c r="H432" s="71"/>
      <c r="I432" s="101"/>
    </row>
    <row r="433" spans="1:9" hidden="1">
      <c r="B433" s="99"/>
      <c r="C433" s="72"/>
      <c r="D433" s="71"/>
      <c r="E433" s="71"/>
      <c r="F433" s="71"/>
      <c r="G433" s="71"/>
      <c r="H433" s="71"/>
      <c r="I433" s="100"/>
    </row>
    <row r="434" spans="1:9" hidden="1">
      <c r="B434" s="99"/>
      <c r="C434" s="72"/>
      <c r="D434" s="71"/>
      <c r="E434" s="71"/>
      <c r="F434" s="71"/>
      <c r="G434" s="71"/>
      <c r="H434" s="71"/>
      <c r="I434" s="100"/>
    </row>
    <row r="435" spans="1:9" hidden="1">
      <c r="B435" s="99"/>
      <c r="C435" s="72"/>
      <c r="D435" s="71"/>
      <c r="E435" s="71"/>
      <c r="F435" s="71"/>
      <c r="G435" s="71"/>
      <c r="H435" s="71"/>
      <c r="I435" s="100"/>
    </row>
    <row r="436" spans="1:9" hidden="1">
      <c r="B436" s="99"/>
      <c r="C436" s="72"/>
      <c r="D436" s="71"/>
      <c r="E436" s="71"/>
      <c r="F436" s="71"/>
      <c r="G436" s="71"/>
      <c r="H436" s="71"/>
      <c r="I436" s="100"/>
    </row>
    <row r="437" spans="1:9" hidden="1">
      <c r="B437" s="99"/>
      <c r="C437" s="72"/>
      <c r="D437" s="71"/>
      <c r="E437" s="71"/>
      <c r="F437" s="71"/>
      <c r="G437" s="71"/>
      <c r="H437" s="71"/>
      <c r="I437" s="100"/>
    </row>
    <row r="438" spans="1:9" hidden="1">
      <c r="B438" s="99"/>
      <c r="C438" s="72"/>
      <c r="D438" s="71"/>
      <c r="E438" s="71"/>
      <c r="F438" s="71"/>
      <c r="G438" s="71"/>
      <c r="H438" s="71"/>
      <c r="I438" s="100"/>
    </row>
    <row r="439" spans="1:9" hidden="1">
      <c r="B439" s="99"/>
      <c r="C439" s="72"/>
      <c r="D439" s="71"/>
      <c r="E439" s="71"/>
      <c r="F439" s="71"/>
      <c r="G439" s="71"/>
      <c r="H439" s="71"/>
      <c r="I439" s="100"/>
    </row>
    <row r="440" spans="1:9" hidden="1">
      <c r="B440" s="99"/>
      <c r="C440" s="72"/>
      <c r="D440" s="71"/>
      <c r="E440" s="71"/>
      <c r="F440" s="71"/>
      <c r="G440" s="71"/>
      <c r="H440" s="71"/>
      <c r="I440" s="100"/>
    </row>
    <row r="441" spans="1:9" hidden="1">
      <c r="B441" s="99"/>
      <c r="C441" s="72"/>
      <c r="D441" s="71"/>
      <c r="E441" s="71"/>
      <c r="F441" s="71"/>
      <c r="G441" s="71"/>
      <c r="H441" s="71"/>
      <c r="I441" s="100"/>
    </row>
    <row r="442" spans="1:9" hidden="1">
      <c r="B442" s="99"/>
      <c r="C442" s="72"/>
      <c r="D442" s="71"/>
      <c r="E442" s="71"/>
      <c r="F442" s="71"/>
      <c r="G442" s="71"/>
      <c r="H442" s="71"/>
      <c r="I442" s="100"/>
    </row>
    <row r="443" spans="1:9" hidden="1">
      <c r="B443" s="99"/>
      <c r="C443" s="72"/>
      <c r="D443" s="71"/>
      <c r="E443" s="71"/>
      <c r="F443" s="71"/>
      <c r="G443" s="71"/>
      <c r="H443" s="71"/>
      <c r="I443" s="100"/>
    </row>
    <row r="444" spans="1:9" hidden="1">
      <c r="B444" s="99"/>
      <c r="C444" s="72"/>
      <c r="D444" s="71"/>
      <c r="E444" s="71"/>
      <c r="F444" s="71"/>
      <c r="G444" s="71"/>
      <c r="H444" s="71"/>
      <c r="I444" s="100"/>
    </row>
    <row r="445" spans="1:9" hidden="1">
      <c r="B445" s="99"/>
      <c r="C445" s="72"/>
      <c r="D445" s="71"/>
      <c r="E445" s="71"/>
      <c r="F445" s="71"/>
      <c r="G445" s="71"/>
      <c r="H445" s="71"/>
      <c r="I445" s="100"/>
    </row>
    <row r="446" spans="1:9" hidden="1">
      <c r="A446" s="1"/>
      <c r="B446" s="99"/>
      <c r="C446" s="71"/>
      <c r="D446" s="71"/>
      <c r="E446" s="71"/>
      <c r="F446" s="71"/>
      <c r="G446" s="71"/>
      <c r="H446" s="71"/>
      <c r="I446" s="101"/>
    </row>
    <row r="447" spans="1:9" hidden="1">
      <c r="A447" s="1"/>
      <c r="B447" s="99"/>
      <c r="C447" s="71"/>
      <c r="D447" s="71"/>
      <c r="E447" s="71"/>
      <c r="F447" s="71"/>
      <c r="G447" s="71"/>
      <c r="H447" s="71"/>
      <c r="I447" s="101"/>
    </row>
    <row r="448" spans="1:9" hidden="1">
      <c r="B448" s="99"/>
      <c r="C448" s="72"/>
      <c r="D448" s="71"/>
      <c r="E448" s="71"/>
      <c r="F448" s="71"/>
      <c r="G448" s="71"/>
      <c r="H448" s="71"/>
      <c r="I448" s="100"/>
    </row>
    <row r="449" spans="2:11" hidden="1">
      <c r="B449" s="99"/>
      <c r="C449" s="72"/>
      <c r="D449" s="71"/>
      <c r="E449" s="71"/>
      <c r="F449" s="71"/>
      <c r="G449" s="71"/>
      <c r="H449" s="71"/>
      <c r="I449" s="100"/>
    </row>
    <row r="450" spans="2:11" hidden="1">
      <c r="B450" s="99"/>
      <c r="C450" s="72"/>
      <c r="D450" s="71"/>
      <c r="E450" s="71"/>
      <c r="F450" s="71"/>
      <c r="G450" s="71"/>
      <c r="H450" s="71"/>
      <c r="I450" s="100"/>
      <c r="J450" s="48"/>
      <c r="K450" s="48"/>
    </row>
    <row r="451" spans="2:11" hidden="1">
      <c r="B451" s="99"/>
      <c r="C451" s="72"/>
      <c r="D451" s="71"/>
      <c r="E451" s="71"/>
      <c r="F451" s="71"/>
      <c r="G451" s="71"/>
      <c r="H451" s="71"/>
      <c r="I451" s="100"/>
    </row>
    <row r="452" spans="2:11" hidden="1">
      <c r="B452" s="99"/>
      <c r="C452" s="72"/>
      <c r="D452" s="71"/>
      <c r="E452" s="71"/>
      <c r="F452" s="71"/>
      <c r="G452" s="71"/>
      <c r="H452" s="71"/>
      <c r="I452" s="100"/>
    </row>
    <row r="453" spans="2:11" hidden="1">
      <c r="B453" s="99"/>
      <c r="C453" s="72"/>
      <c r="D453" s="71"/>
      <c r="E453" s="71"/>
      <c r="F453" s="71"/>
      <c r="G453" s="71"/>
      <c r="H453" s="71"/>
      <c r="I453" s="100"/>
    </row>
    <row r="454" spans="2:11" hidden="1">
      <c r="B454" s="99"/>
      <c r="C454" s="72"/>
      <c r="D454" s="71"/>
      <c r="E454" s="71"/>
      <c r="F454" s="71"/>
      <c r="G454" s="71"/>
      <c r="H454" s="71"/>
      <c r="I454" s="100"/>
    </row>
    <row r="455" spans="2:11" hidden="1">
      <c r="B455" s="99"/>
      <c r="C455" s="72"/>
      <c r="D455" s="71"/>
      <c r="E455" s="71"/>
      <c r="F455" s="71"/>
      <c r="G455" s="71"/>
      <c r="H455" s="71"/>
      <c r="I455" s="100"/>
    </row>
    <row r="456" spans="2:11" hidden="1">
      <c r="B456" s="99"/>
      <c r="C456" s="72"/>
      <c r="D456" s="71"/>
      <c r="E456" s="71"/>
      <c r="F456" s="71"/>
      <c r="G456" s="71"/>
      <c r="H456" s="71"/>
      <c r="I456" s="100"/>
    </row>
    <row r="457" spans="2:11" hidden="1">
      <c r="B457" s="99"/>
      <c r="C457" s="72"/>
      <c r="D457" s="71"/>
      <c r="E457" s="71"/>
      <c r="F457" s="71"/>
      <c r="G457" s="71"/>
      <c r="H457" s="71"/>
      <c r="I457" s="100"/>
    </row>
    <row r="458" spans="2:11" hidden="1">
      <c r="B458" s="99"/>
      <c r="C458" s="72"/>
      <c r="D458" s="71"/>
      <c r="E458" s="71"/>
      <c r="F458" s="71"/>
      <c r="G458" s="71"/>
      <c r="H458" s="71"/>
      <c r="I458" s="100"/>
    </row>
    <row r="459" spans="2:11" hidden="1">
      <c r="B459" s="99"/>
      <c r="C459" s="72"/>
      <c r="D459" s="71"/>
      <c r="E459" s="71"/>
      <c r="F459" s="71"/>
      <c r="G459" s="71"/>
      <c r="H459" s="71"/>
      <c r="I459" s="100"/>
    </row>
    <row r="460" spans="2:11" hidden="1">
      <c r="B460" s="99"/>
      <c r="C460" s="72"/>
      <c r="D460" s="71"/>
      <c r="E460" s="71"/>
      <c r="F460" s="71"/>
      <c r="G460" s="71"/>
      <c r="H460" s="71"/>
      <c r="I460" s="100"/>
    </row>
    <row r="461" spans="2:11" hidden="1">
      <c r="B461" s="99"/>
      <c r="C461" s="72"/>
      <c r="D461" s="71"/>
      <c r="E461" s="71"/>
      <c r="F461" s="71"/>
      <c r="G461" s="71"/>
      <c r="H461" s="71"/>
      <c r="I461" s="100"/>
    </row>
    <row r="462" spans="2:11" hidden="1">
      <c r="B462" s="99"/>
      <c r="C462" s="72"/>
      <c r="D462" s="71"/>
      <c r="E462" s="71"/>
      <c r="F462" s="71"/>
      <c r="G462" s="71"/>
      <c r="H462" s="71"/>
      <c r="I462" s="100"/>
    </row>
    <row r="463" spans="2:11" hidden="1">
      <c r="B463" s="99"/>
      <c r="C463" s="72"/>
      <c r="D463" s="71"/>
      <c r="E463" s="71"/>
      <c r="F463" s="71"/>
      <c r="G463" s="71"/>
      <c r="H463" s="71"/>
      <c r="I463" s="100"/>
    </row>
    <row r="464" spans="2:11" hidden="1">
      <c r="B464" s="99"/>
      <c r="C464" s="72"/>
      <c r="D464" s="71"/>
      <c r="E464" s="71"/>
      <c r="F464" s="71"/>
      <c r="G464" s="71"/>
      <c r="H464" s="71"/>
      <c r="I464" s="100"/>
    </row>
    <row r="465" spans="1:11" hidden="1">
      <c r="B465" s="99"/>
      <c r="C465" s="72"/>
      <c r="D465" s="71"/>
      <c r="E465" s="71"/>
      <c r="F465" s="71"/>
      <c r="G465" s="71"/>
      <c r="H465" s="71"/>
      <c r="I465" s="100"/>
    </row>
    <row r="466" spans="1:11" hidden="1">
      <c r="B466" s="99"/>
      <c r="C466" s="72"/>
      <c r="D466" s="71"/>
      <c r="E466" s="71"/>
      <c r="F466" s="71"/>
      <c r="G466" s="71"/>
      <c r="H466" s="71"/>
      <c r="I466" s="100"/>
    </row>
    <row r="467" spans="1:11" hidden="1">
      <c r="B467" s="99"/>
      <c r="C467" s="72"/>
      <c r="D467" s="71"/>
      <c r="E467" s="71"/>
      <c r="F467" s="71"/>
      <c r="G467" s="71"/>
      <c r="H467" s="71"/>
      <c r="I467" s="100"/>
    </row>
    <row r="468" spans="1:11" hidden="1">
      <c r="B468" s="99"/>
      <c r="C468" s="72"/>
      <c r="D468" s="71"/>
      <c r="E468" s="71"/>
      <c r="F468" s="71"/>
      <c r="G468" s="71"/>
      <c r="H468" s="71"/>
      <c r="I468" s="100"/>
    </row>
    <row r="469" spans="1:11" hidden="1">
      <c r="B469" s="99"/>
      <c r="C469" s="72"/>
      <c r="D469" s="71"/>
      <c r="E469" s="71"/>
      <c r="F469" s="71"/>
      <c r="G469" s="71"/>
      <c r="H469" s="71"/>
      <c r="I469" s="100"/>
    </row>
    <row r="470" spans="1:11">
      <c r="B470" s="71"/>
      <c r="C470" s="72"/>
      <c r="D470" s="71"/>
      <c r="E470" s="71"/>
      <c r="F470" s="71"/>
      <c r="G470" s="71"/>
      <c r="H470" s="71"/>
      <c r="I470" s="95"/>
    </row>
    <row r="471" spans="1:11">
      <c r="B471" s="71"/>
      <c r="C471" s="72"/>
      <c r="D471" s="71"/>
      <c r="E471" s="71"/>
      <c r="F471" s="71"/>
      <c r="G471" s="71"/>
      <c r="H471" s="71"/>
      <c r="I471" s="95"/>
    </row>
    <row r="472" spans="1:11">
      <c r="B472" s="71"/>
      <c r="C472" s="72"/>
      <c r="D472" s="71"/>
      <c r="E472" s="71"/>
      <c r="F472" s="71"/>
      <c r="G472" s="71"/>
      <c r="H472" s="71"/>
      <c r="I472" s="95"/>
    </row>
    <row r="473" spans="1:11">
      <c r="B473" s="71"/>
      <c r="C473" s="72"/>
      <c r="D473" s="71"/>
      <c r="E473" s="71"/>
      <c r="F473" s="71"/>
      <c r="G473" s="71"/>
      <c r="H473" s="71"/>
      <c r="I473" s="95"/>
    </row>
    <row r="474" spans="1:11">
      <c r="B474" s="71"/>
      <c r="C474" s="72"/>
      <c r="D474" s="71"/>
      <c r="E474" s="71"/>
      <c r="F474" s="71"/>
      <c r="G474" s="71"/>
      <c r="H474" s="71"/>
      <c r="I474" s="95"/>
    </row>
    <row r="475" spans="1:11">
      <c r="B475" s="71"/>
      <c r="C475" s="72"/>
      <c r="D475" s="71"/>
      <c r="E475" s="71"/>
      <c r="F475" s="71"/>
      <c r="G475" s="71"/>
      <c r="H475" s="71"/>
      <c r="I475" s="95"/>
    </row>
    <row r="476" spans="1:11">
      <c r="B476" s="71"/>
      <c r="C476" s="72"/>
      <c r="D476" s="71"/>
      <c r="E476" s="71"/>
      <c r="F476" s="71"/>
      <c r="G476" s="71"/>
      <c r="H476" s="71"/>
      <c r="I476" s="95"/>
    </row>
    <row r="477" spans="1:11" s="48" customFormat="1">
      <c r="A477" s="2"/>
      <c r="B477" s="71"/>
      <c r="C477" s="72"/>
      <c r="D477" s="71"/>
      <c r="E477" s="71"/>
      <c r="F477" s="71"/>
      <c r="G477" s="71"/>
      <c r="H477" s="71"/>
      <c r="I477" s="95"/>
      <c r="J477" s="1"/>
      <c r="K477" s="1"/>
    </row>
    <row r="478" spans="1:11">
      <c r="B478" s="71"/>
      <c r="C478" s="72"/>
      <c r="D478" s="71"/>
      <c r="E478" s="71"/>
      <c r="F478" s="71"/>
      <c r="G478" s="71"/>
      <c r="H478" s="71"/>
      <c r="I478" s="95"/>
    </row>
    <row r="479" spans="1:11">
      <c r="B479" s="71"/>
      <c r="C479" s="72"/>
      <c r="D479" s="71"/>
      <c r="E479" s="71"/>
      <c r="F479" s="71"/>
      <c r="G479" s="71"/>
      <c r="H479" s="71"/>
      <c r="I479" s="95"/>
    </row>
    <row r="480" spans="1:11">
      <c r="B480" s="71"/>
      <c r="C480" s="72"/>
      <c r="D480" s="71"/>
      <c r="E480" s="71"/>
      <c r="F480" s="71"/>
      <c r="G480" s="71"/>
      <c r="H480" s="71"/>
      <c r="I480" s="95"/>
    </row>
    <row r="481" spans="2:9">
      <c r="B481" s="71"/>
      <c r="C481" s="72"/>
      <c r="D481" s="71"/>
      <c r="E481" s="71"/>
      <c r="F481" s="71"/>
      <c r="G481" s="71"/>
      <c r="H481" s="71"/>
      <c r="I481" s="95"/>
    </row>
    <row r="482" spans="2:9">
      <c r="B482" s="71"/>
      <c r="C482" s="72"/>
      <c r="D482" s="71"/>
      <c r="E482" s="71"/>
      <c r="F482" s="71"/>
      <c r="G482" s="71"/>
      <c r="H482" s="71"/>
      <c r="I482" s="95"/>
    </row>
    <row r="483" spans="2:9">
      <c r="B483" s="71"/>
      <c r="C483" s="72"/>
      <c r="D483" s="71"/>
      <c r="E483" s="71"/>
      <c r="F483" s="71"/>
      <c r="G483" s="71"/>
      <c r="H483" s="71"/>
      <c r="I483" s="95"/>
    </row>
    <row r="484" spans="2:9">
      <c r="B484" s="71"/>
      <c r="C484" s="72"/>
      <c r="D484" s="71"/>
      <c r="E484" s="71"/>
      <c r="F484" s="71"/>
      <c r="G484" s="71"/>
      <c r="H484" s="71"/>
      <c r="I484" s="95"/>
    </row>
    <row r="485" spans="2:9">
      <c r="B485" s="71"/>
      <c r="C485" s="72"/>
      <c r="D485" s="71"/>
      <c r="E485" s="71"/>
      <c r="F485" s="71"/>
      <c r="G485" s="71"/>
      <c r="H485" s="71"/>
      <c r="I485" s="95"/>
    </row>
    <row r="486" spans="2:9">
      <c r="B486" s="71"/>
      <c r="C486" s="72"/>
      <c r="D486" s="71"/>
      <c r="E486" s="71"/>
      <c r="F486" s="71"/>
      <c r="G486" s="71"/>
      <c r="H486" s="71"/>
      <c r="I486" s="95"/>
    </row>
    <row r="487" spans="2:9">
      <c r="B487" s="71"/>
      <c r="C487" s="72"/>
      <c r="D487" s="71"/>
      <c r="E487" s="71"/>
      <c r="F487" s="71"/>
      <c r="G487" s="71"/>
      <c r="H487" s="71"/>
      <c r="I487" s="95"/>
    </row>
    <row r="488" spans="2:9">
      <c r="B488" s="71"/>
      <c r="C488" s="72"/>
      <c r="D488" s="71"/>
      <c r="E488" s="71"/>
      <c r="F488" s="71"/>
      <c r="G488" s="71"/>
      <c r="H488" s="71"/>
      <c r="I488" s="95"/>
    </row>
    <row r="489" spans="2:9">
      <c r="B489" s="71"/>
      <c r="C489" s="72"/>
      <c r="D489" s="71"/>
      <c r="E489" s="71"/>
      <c r="F489" s="71"/>
      <c r="G489" s="71"/>
      <c r="H489" s="71"/>
      <c r="I489" s="95"/>
    </row>
    <row r="490" spans="2:9">
      <c r="B490" s="71"/>
      <c r="C490" s="72"/>
      <c r="D490" s="71"/>
      <c r="E490" s="71"/>
      <c r="F490" s="71"/>
      <c r="G490" s="71"/>
      <c r="H490" s="71"/>
      <c r="I490" s="95"/>
    </row>
    <row r="491" spans="2:9">
      <c r="B491" s="71"/>
      <c r="C491" s="72"/>
      <c r="D491" s="71"/>
      <c r="E491" s="71"/>
      <c r="F491" s="71"/>
      <c r="G491" s="71"/>
      <c r="H491" s="71"/>
      <c r="I491" s="95"/>
    </row>
    <row r="492" spans="2:9">
      <c r="B492" s="71"/>
      <c r="C492" s="72"/>
      <c r="D492" s="71"/>
      <c r="E492" s="71"/>
      <c r="F492" s="71"/>
      <c r="G492" s="71"/>
      <c r="H492" s="71"/>
      <c r="I492" s="95"/>
    </row>
    <row r="493" spans="2:9">
      <c r="B493" s="71"/>
      <c r="C493" s="72"/>
      <c r="D493" s="71"/>
      <c r="E493" s="71"/>
      <c r="F493" s="71"/>
      <c r="G493" s="71"/>
      <c r="H493" s="71"/>
      <c r="I493" s="95"/>
    </row>
    <row r="494" spans="2:9">
      <c r="B494" s="71"/>
      <c r="C494" s="72"/>
      <c r="D494" s="71"/>
      <c r="E494" s="71"/>
      <c r="F494" s="71"/>
      <c r="G494" s="71"/>
      <c r="H494" s="71"/>
      <c r="I494" s="95"/>
    </row>
    <row r="495" spans="2:9">
      <c r="B495" s="71"/>
      <c r="C495" s="72"/>
      <c r="D495" s="71"/>
      <c r="E495" s="71"/>
      <c r="F495" s="71"/>
      <c r="G495" s="71"/>
      <c r="H495" s="71"/>
      <c r="I495" s="95"/>
    </row>
    <row r="496" spans="2:9">
      <c r="B496" s="71"/>
      <c r="C496" s="72"/>
      <c r="D496" s="71"/>
      <c r="E496" s="71"/>
      <c r="F496" s="71"/>
      <c r="G496" s="71"/>
      <c r="H496" s="71"/>
      <c r="I496" s="95"/>
    </row>
    <row r="497" spans="2:9">
      <c r="B497" s="71"/>
      <c r="C497" s="72"/>
      <c r="D497" s="71"/>
      <c r="E497" s="71"/>
      <c r="F497" s="71"/>
      <c r="G497" s="71"/>
      <c r="H497" s="71"/>
      <c r="I497" s="95"/>
    </row>
    <row r="498" spans="2:9">
      <c r="B498" s="71"/>
      <c r="C498" s="72"/>
      <c r="D498" s="71"/>
      <c r="E498" s="71"/>
      <c r="F498" s="71"/>
      <c r="G498" s="71"/>
      <c r="H498" s="71"/>
      <c r="I498" s="95"/>
    </row>
    <row r="499" spans="2:9">
      <c r="B499" s="71"/>
      <c r="C499" s="72"/>
      <c r="D499" s="71"/>
      <c r="E499" s="71"/>
      <c r="F499" s="71"/>
      <c r="G499" s="71"/>
      <c r="H499" s="71"/>
      <c r="I499" s="95"/>
    </row>
    <row r="500" spans="2:9">
      <c r="B500" s="71"/>
      <c r="C500" s="72"/>
      <c r="D500" s="71"/>
      <c r="E500" s="71"/>
      <c r="F500" s="71"/>
      <c r="G500" s="71"/>
      <c r="H500" s="71"/>
      <c r="I500" s="95"/>
    </row>
    <row r="501" spans="2:9">
      <c r="B501" s="71"/>
      <c r="C501" s="72"/>
      <c r="D501" s="71"/>
      <c r="E501" s="71"/>
      <c r="F501" s="71"/>
      <c r="G501" s="71"/>
      <c r="H501" s="71"/>
      <c r="I501" s="95"/>
    </row>
    <row r="502" spans="2:9">
      <c r="B502" s="71"/>
      <c r="C502" s="72"/>
      <c r="D502" s="71"/>
      <c r="E502" s="71"/>
      <c r="F502" s="71"/>
      <c r="G502" s="71"/>
      <c r="H502" s="71"/>
      <c r="I502" s="95"/>
    </row>
    <row r="503" spans="2:9">
      <c r="B503" s="71"/>
      <c r="C503" s="72"/>
      <c r="D503" s="71"/>
      <c r="E503" s="71"/>
      <c r="F503" s="71"/>
      <c r="G503" s="71"/>
      <c r="H503" s="71"/>
      <c r="I503" s="95"/>
    </row>
    <row r="504" spans="2:9">
      <c r="B504" s="71"/>
      <c r="C504" s="72"/>
      <c r="D504" s="71"/>
      <c r="E504" s="71"/>
      <c r="F504" s="71"/>
      <c r="G504" s="71"/>
      <c r="H504" s="71"/>
      <c r="I504" s="95"/>
    </row>
    <row r="505" spans="2:9">
      <c r="B505" s="71"/>
      <c r="C505" s="72"/>
      <c r="D505" s="71"/>
      <c r="E505" s="71"/>
      <c r="F505" s="71"/>
      <c r="G505" s="71"/>
      <c r="H505" s="71"/>
      <c r="I505" s="95"/>
    </row>
    <row r="506" spans="2:9">
      <c r="B506" s="71"/>
      <c r="C506" s="72"/>
      <c r="D506" s="71"/>
      <c r="E506" s="71"/>
      <c r="F506" s="71"/>
      <c r="G506" s="71"/>
      <c r="H506" s="71"/>
      <c r="I506" s="95"/>
    </row>
    <row r="507" spans="2:9">
      <c r="B507" s="71"/>
      <c r="C507" s="72"/>
      <c r="D507" s="71"/>
      <c r="E507" s="71"/>
      <c r="F507" s="71"/>
      <c r="G507" s="71"/>
      <c r="H507" s="71"/>
      <c r="I507" s="95"/>
    </row>
    <row r="508" spans="2:9">
      <c r="B508" s="71"/>
      <c r="C508" s="72"/>
      <c r="D508" s="71"/>
      <c r="E508" s="71"/>
      <c r="F508" s="71"/>
      <c r="G508" s="71"/>
      <c r="H508" s="71"/>
      <c r="I508" s="95"/>
    </row>
    <row r="509" spans="2:9">
      <c r="B509" s="71"/>
      <c r="C509" s="72"/>
      <c r="D509" s="71"/>
      <c r="E509" s="71"/>
      <c r="F509" s="71"/>
      <c r="G509" s="71"/>
      <c r="H509" s="71"/>
      <c r="I509" s="95"/>
    </row>
    <row r="510" spans="2:9">
      <c r="B510" s="71"/>
      <c r="C510" s="72"/>
      <c r="D510" s="71"/>
      <c r="E510" s="71"/>
      <c r="F510" s="71"/>
      <c r="G510" s="71"/>
      <c r="H510" s="71"/>
      <c r="I510" s="95"/>
    </row>
    <row r="511" spans="2:9">
      <c r="B511" s="71"/>
      <c r="C511" s="72"/>
      <c r="D511" s="71"/>
      <c r="E511" s="71"/>
      <c r="F511" s="71"/>
      <c r="G511" s="71"/>
      <c r="H511" s="71"/>
      <c r="I511" s="95"/>
    </row>
    <row r="512" spans="2:9">
      <c r="B512" s="71"/>
      <c r="C512" s="72"/>
      <c r="D512" s="71"/>
      <c r="E512" s="71"/>
      <c r="F512" s="71"/>
      <c r="G512" s="71"/>
      <c r="H512" s="71"/>
      <c r="I512" s="95"/>
    </row>
    <row r="513" spans="2:9">
      <c r="B513" s="71"/>
      <c r="C513" s="72"/>
      <c r="D513" s="71"/>
      <c r="E513" s="71"/>
      <c r="F513" s="71"/>
      <c r="G513" s="71"/>
      <c r="H513" s="71"/>
      <c r="I513" s="95"/>
    </row>
    <row r="514" spans="2:9">
      <c r="B514" s="71"/>
      <c r="C514" s="72"/>
      <c r="D514" s="71"/>
      <c r="E514" s="71"/>
      <c r="F514" s="71"/>
      <c r="G514" s="71"/>
      <c r="H514" s="71"/>
      <c r="I514" s="95"/>
    </row>
    <row r="515" spans="2:9">
      <c r="B515" s="71"/>
      <c r="C515" s="72"/>
      <c r="D515" s="71"/>
      <c r="E515" s="71"/>
      <c r="F515" s="71"/>
      <c r="G515" s="71"/>
      <c r="H515" s="71"/>
      <c r="I515" s="95"/>
    </row>
    <row r="516" spans="2:9">
      <c r="B516" s="71"/>
      <c r="C516" s="72"/>
      <c r="D516" s="71"/>
      <c r="E516" s="71"/>
      <c r="F516" s="71"/>
      <c r="G516" s="71"/>
      <c r="H516" s="71"/>
      <c r="I516" s="95"/>
    </row>
    <row r="517" spans="2:9">
      <c r="B517" s="71"/>
      <c r="C517" s="72"/>
      <c r="D517" s="71"/>
      <c r="E517" s="71"/>
      <c r="F517" s="71"/>
      <c r="G517" s="71"/>
      <c r="H517" s="71"/>
      <c r="I517" s="95"/>
    </row>
    <row r="518" spans="2:9">
      <c r="B518" s="71"/>
      <c r="C518" s="72"/>
      <c r="D518" s="71"/>
      <c r="E518" s="71"/>
      <c r="F518" s="71"/>
      <c r="G518" s="71"/>
      <c r="H518" s="71"/>
      <c r="I518" s="95"/>
    </row>
    <row r="519" spans="2:9">
      <c r="B519" s="1"/>
      <c r="I519" s="2"/>
    </row>
    <row r="520" spans="2:9">
      <c r="B520" s="1"/>
      <c r="I520" s="2"/>
    </row>
    <row r="521" spans="2:9">
      <c r="B521" s="1"/>
      <c r="I521" s="2"/>
    </row>
    <row r="522" spans="2:9">
      <c r="B522" s="1"/>
      <c r="I522" s="2"/>
    </row>
    <row r="523" spans="2:9">
      <c r="B523" s="1"/>
      <c r="I523" s="2"/>
    </row>
    <row r="524" spans="2:9">
      <c r="B524" s="1"/>
      <c r="I524" s="2"/>
    </row>
    <row r="525" spans="2:9">
      <c r="B525" s="1"/>
      <c r="I525" s="2"/>
    </row>
    <row r="526" spans="2:9">
      <c r="B526" s="1"/>
      <c r="I526" s="2"/>
    </row>
    <row r="527" spans="2:9">
      <c r="B527" s="1"/>
      <c r="I527" s="2"/>
    </row>
    <row r="528" spans="2:9">
      <c r="B528" s="1"/>
      <c r="I528" s="2"/>
    </row>
  </sheetData>
  <mergeCells count="132">
    <mergeCell ref="A299:A300"/>
    <mergeCell ref="C340:C341"/>
    <mergeCell ref="B340:B341"/>
    <mergeCell ref="A340:A341"/>
    <mergeCell ref="B343:I343"/>
    <mergeCell ref="I340:I341"/>
    <mergeCell ref="H340:H341"/>
    <mergeCell ref="H385:I385"/>
    <mergeCell ref="H384:I384"/>
    <mergeCell ref="H383:I383"/>
    <mergeCell ref="H382:I382"/>
    <mergeCell ref="A380:A381"/>
    <mergeCell ref="B380:B381"/>
    <mergeCell ref="C380:C381"/>
    <mergeCell ref="D340:F340"/>
    <mergeCell ref="G340:G341"/>
    <mergeCell ref="B348:I348"/>
    <mergeCell ref="B351:I351"/>
    <mergeCell ref="H380:I381"/>
    <mergeCell ref="G380:G381"/>
    <mergeCell ref="D380:F380"/>
    <mergeCell ref="B379:I379"/>
    <mergeCell ref="B360:I360"/>
    <mergeCell ref="B364:I364"/>
    <mergeCell ref="A37:A38"/>
    <mergeCell ref="B58:I58"/>
    <mergeCell ref="B163:I163"/>
    <mergeCell ref="B160:I160"/>
    <mergeCell ref="B155:I155"/>
    <mergeCell ref="G152:G153"/>
    <mergeCell ref="C152:C153"/>
    <mergeCell ref="D152:F152"/>
    <mergeCell ref="A152:A153"/>
    <mergeCell ref="B152:B153"/>
    <mergeCell ref="G37:G38"/>
    <mergeCell ref="C37:C38"/>
    <mergeCell ref="B37:B38"/>
    <mergeCell ref="B40:I40"/>
    <mergeCell ref="B46:I46"/>
    <mergeCell ref="B49:I49"/>
    <mergeCell ref="B62:I62"/>
    <mergeCell ref="I37:I38"/>
    <mergeCell ref="B77:B78"/>
    <mergeCell ref="D77:F77"/>
    <mergeCell ref="B236:I236"/>
    <mergeCell ref="B233:I233"/>
    <mergeCell ref="B213:I213"/>
    <mergeCell ref="B209:I209"/>
    <mergeCell ref="B176:I176"/>
    <mergeCell ref="D189:F189"/>
    <mergeCell ref="C189:C190"/>
    <mergeCell ref="A225:A226"/>
    <mergeCell ref="B228:I228"/>
    <mergeCell ref="B225:B226"/>
    <mergeCell ref="G225:G226"/>
    <mergeCell ref="D225:F225"/>
    <mergeCell ref="C225:C226"/>
    <mergeCell ref="B12:I12"/>
    <mergeCell ref="B24:I24"/>
    <mergeCell ref="B20:I20"/>
    <mergeCell ref="B172:I172"/>
    <mergeCell ref="B138:I138"/>
    <mergeCell ref="B100:I100"/>
    <mergeCell ref="B96:I96"/>
    <mergeCell ref="B88:I88"/>
    <mergeCell ref="B85:I85"/>
    <mergeCell ref="B80:I80"/>
    <mergeCell ref="B9:I9"/>
    <mergeCell ref="B189:B190"/>
    <mergeCell ref="G189:G190"/>
    <mergeCell ref="B114:B115"/>
    <mergeCell ref="C114:C115"/>
    <mergeCell ref="D114:F114"/>
    <mergeCell ref="G114:G115"/>
    <mergeCell ref="B117:I117"/>
    <mergeCell ref="B122:I122"/>
    <mergeCell ref="B125:I125"/>
    <mergeCell ref="A1:A2"/>
    <mergeCell ref="B1:B2"/>
    <mergeCell ref="B4:I4"/>
    <mergeCell ref="C1:C2"/>
    <mergeCell ref="D1:F1"/>
    <mergeCell ref="G1:G2"/>
    <mergeCell ref="H1:H2"/>
    <mergeCell ref="I1:I2"/>
    <mergeCell ref="C262:C263"/>
    <mergeCell ref="B262:B263"/>
    <mergeCell ref="I114:I115"/>
    <mergeCell ref="I77:I78"/>
    <mergeCell ref="H77:H78"/>
    <mergeCell ref="H37:H38"/>
    <mergeCell ref="H114:H115"/>
    <mergeCell ref="C77:C78"/>
    <mergeCell ref="B134:I134"/>
    <mergeCell ref="D37:F37"/>
    <mergeCell ref="A189:A190"/>
    <mergeCell ref="B192:I192"/>
    <mergeCell ref="B197:I197"/>
    <mergeCell ref="B200:I200"/>
    <mergeCell ref="H152:H153"/>
    <mergeCell ref="B273:I273"/>
    <mergeCell ref="B270:I270"/>
    <mergeCell ref="A262:A263"/>
    <mergeCell ref="B265:I265"/>
    <mergeCell ref="I262:I263"/>
    <mergeCell ref="A114:A115"/>
    <mergeCell ref="A77:A78"/>
    <mergeCell ref="G77:G78"/>
    <mergeCell ref="B308:I308"/>
    <mergeCell ref="H189:H190"/>
    <mergeCell ref="I189:I190"/>
    <mergeCell ref="I152:I153"/>
    <mergeCell ref="B299:B300"/>
    <mergeCell ref="G299:G300"/>
    <mergeCell ref="H299:H300"/>
    <mergeCell ref="I225:I226"/>
    <mergeCell ref="H225:H226"/>
    <mergeCell ref="B244:I244"/>
    <mergeCell ref="B248:I248"/>
    <mergeCell ref="B282:I282"/>
    <mergeCell ref="B286:I286"/>
    <mergeCell ref="D262:F262"/>
    <mergeCell ref="B261:I261"/>
    <mergeCell ref="H262:H263"/>
    <mergeCell ref="G262:G263"/>
    <mergeCell ref="I299:I300"/>
    <mergeCell ref="C299:C300"/>
    <mergeCell ref="B302:I302"/>
    <mergeCell ref="B311:I311"/>
    <mergeCell ref="B321:I321"/>
    <mergeCell ref="B325:I325"/>
    <mergeCell ref="D299:F299"/>
  </mergeCells>
  <phoneticPr fontId="0" type="noConversion"/>
  <pageMargins left="0.39370077848434398" right="0.39370077848434398" top="0.78740155696868896" bottom="0.39370077848434398" header="0.39370077848434398" footer="0.39370077848434398"/>
  <pageSetup paperSize="9" scale="18" orientation="portrait"/>
  <rowBreaks count="10" manualBreakCount="10">
    <brk id="36" max="16383" man="1"/>
    <brk id="76" max="16383" man="1"/>
    <brk id="113" max="16383" man="1"/>
    <brk id="151" max="16383" man="1"/>
    <brk id="188" max="16383" man="1"/>
    <brk id="224" max="16383" man="1"/>
    <brk id="260" max="16383" man="1"/>
    <brk id="298" max="16383" man="1"/>
    <brk id="339" max="16383" man="1"/>
    <brk id="3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475"/>
  <sheetViews>
    <sheetView topLeftCell="B1" workbookViewId="0"/>
  </sheetViews>
  <sheetFormatPr defaultColWidth="9" defaultRowHeight="70.2"/>
  <cols>
    <col min="1" max="1" width="17.77734375" style="2" hidden="1" customWidth="1"/>
    <col min="2" max="2" width="142.21875" style="104" customWidth="1"/>
    <col min="3" max="3" width="40.33203125" style="4" customWidth="1"/>
    <col min="4" max="4" width="43" style="1" customWidth="1"/>
    <col min="5" max="5" width="40.33203125" style="1" customWidth="1"/>
    <col min="6" max="6" width="42" style="1" customWidth="1"/>
    <col min="7" max="7" width="80.88671875" style="1" customWidth="1"/>
    <col min="8" max="8" width="55.6640625" style="1" customWidth="1"/>
    <col min="9" max="9" width="77" style="5" customWidth="1"/>
    <col min="10" max="10" width="9" style="1" customWidth="1"/>
    <col min="11" max="11" width="10.77734375" style="1" bestFit="1" customWidth="1"/>
    <col min="12" max="12" width="36.44140625" style="1" customWidth="1"/>
    <col min="13" max="13" width="9" style="1" customWidth="1"/>
    <col min="14" max="16384" width="9" style="1"/>
  </cols>
  <sheetData>
    <row r="1" spans="1:9">
      <c r="A1" s="152" t="s">
        <v>0</v>
      </c>
      <c r="B1" s="145" t="s">
        <v>1</v>
      </c>
      <c r="C1" s="176" t="s">
        <v>2</v>
      </c>
      <c r="D1" s="145" t="s">
        <v>3</v>
      </c>
      <c r="E1" s="146"/>
      <c r="F1" s="147"/>
      <c r="G1" s="145" t="s">
        <v>4</v>
      </c>
      <c r="H1" s="145" t="s">
        <v>5</v>
      </c>
      <c r="I1" s="148" t="s">
        <v>6</v>
      </c>
    </row>
    <row r="2" spans="1:9">
      <c r="A2" s="153"/>
      <c r="B2" s="151"/>
      <c r="C2" s="175"/>
      <c r="D2" s="60" t="s">
        <v>7</v>
      </c>
      <c r="E2" s="61" t="s">
        <v>8</v>
      </c>
      <c r="F2" s="61" t="s">
        <v>9</v>
      </c>
      <c r="G2" s="151"/>
      <c r="H2" s="151"/>
      <c r="I2" s="177"/>
    </row>
    <row r="3" spans="1:9">
      <c r="A3" s="39"/>
      <c r="B3" s="93" t="s">
        <v>10</v>
      </c>
      <c r="C3" s="105"/>
      <c r="D3" s="105"/>
      <c r="E3" s="105"/>
      <c r="F3" s="105"/>
      <c r="G3" s="105"/>
      <c r="H3" s="105"/>
      <c r="I3" s="106"/>
    </row>
    <row r="4" spans="1:9">
      <c r="A4" s="39"/>
      <c r="B4" s="145" t="s">
        <v>11</v>
      </c>
      <c r="C4" s="146"/>
      <c r="D4" s="146"/>
      <c r="E4" s="146"/>
      <c r="F4" s="146"/>
      <c r="G4" s="146"/>
      <c r="H4" s="146"/>
      <c r="I4" s="147"/>
    </row>
    <row r="5" spans="1:9">
      <c r="A5" s="14">
        <v>14</v>
      </c>
      <c r="B5" s="107" t="s">
        <v>12</v>
      </c>
      <c r="C5" s="108" t="s">
        <v>176</v>
      </c>
      <c r="D5" s="54">
        <v>7.09</v>
      </c>
      <c r="E5" s="54">
        <v>7.44</v>
      </c>
      <c r="F5" s="54">
        <v>30.55</v>
      </c>
      <c r="G5" s="65">
        <v>216</v>
      </c>
      <c r="H5" s="65">
        <v>1.96</v>
      </c>
      <c r="I5" s="55">
        <v>14</v>
      </c>
    </row>
    <row r="6" spans="1:9">
      <c r="A6" s="14"/>
      <c r="B6" s="58" t="s">
        <v>14</v>
      </c>
      <c r="C6" s="83">
        <v>200</v>
      </c>
      <c r="D6" s="54">
        <v>0</v>
      </c>
      <c r="E6" s="54">
        <v>0</v>
      </c>
      <c r="F6" s="54">
        <v>6.99</v>
      </c>
      <c r="G6" s="54">
        <v>28</v>
      </c>
      <c r="H6" s="54">
        <v>0</v>
      </c>
      <c r="I6" s="59">
        <v>13</v>
      </c>
    </row>
    <row r="7" spans="1:9">
      <c r="A7" s="14"/>
      <c r="B7" s="30" t="s">
        <v>15</v>
      </c>
      <c r="C7" s="84" t="s">
        <v>177</v>
      </c>
      <c r="D7" s="54">
        <v>4.96</v>
      </c>
      <c r="E7" s="54">
        <v>7.6</v>
      </c>
      <c r="F7" s="54">
        <v>12.36</v>
      </c>
      <c r="G7" s="54">
        <v>138</v>
      </c>
      <c r="H7" s="54">
        <v>0.09</v>
      </c>
      <c r="I7" s="55">
        <v>3</v>
      </c>
    </row>
    <row r="8" spans="1:9">
      <c r="A8" s="14"/>
      <c r="B8" s="30" t="s">
        <v>17</v>
      </c>
      <c r="C8" s="84" t="s">
        <v>178</v>
      </c>
      <c r="D8" s="54">
        <f>D5+D6+D7</f>
        <v>12.05</v>
      </c>
      <c r="E8" s="54">
        <f>E5+E6+E7</f>
        <v>15.04</v>
      </c>
      <c r="F8" s="54">
        <f>F5+F6+F7</f>
        <v>49.9</v>
      </c>
      <c r="G8" s="54">
        <f>G5+G6+G7</f>
        <v>382</v>
      </c>
      <c r="H8" s="54">
        <f>H5+H6+H7</f>
        <v>2.0499999999999998</v>
      </c>
      <c r="I8" s="55"/>
    </row>
    <row r="9" spans="1:9">
      <c r="A9" s="39"/>
      <c r="B9" s="145" t="s">
        <v>19</v>
      </c>
      <c r="C9" s="146"/>
      <c r="D9" s="146"/>
      <c r="E9" s="146"/>
      <c r="F9" s="146"/>
      <c r="G9" s="146"/>
      <c r="H9" s="146"/>
      <c r="I9" s="147"/>
    </row>
    <row r="10" spans="1:9" ht="140.4">
      <c r="A10" s="14" t="s">
        <v>20</v>
      </c>
      <c r="B10" s="30" t="s">
        <v>179</v>
      </c>
      <c r="C10" s="84" t="s">
        <v>30</v>
      </c>
      <c r="D10" s="79">
        <v>0</v>
      </c>
      <c r="E10" s="79">
        <v>0</v>
      </c>
      <c r="F10" s="79">
        <v>16.149999999999999</v>
      </c>
      <c r="G10" s="79">
        <v>68</v>
      </c>
      <c r="H10" s="79">
        <v>17</v>
      </c>
      <c r="I10" s="55" t="s">
        <v>20</v>
      </c>
    </row>
    <row r="11" spans="1:9">
      <c r="A11" s="14"/>
      <c r="B11" s="30" t="s">
        <v>17</v>
      </c>
      <c r="C11" s="25" t="s">
        <v>30</v>
      </c>
      <c r="D11" s="54">
        <f>SUM(D10)</f>
        <v>0</v>
      </c>
      <c r="E11" s="54">
        <f>SUM(E10)</f>
        <v>0</v>
      </c>
      <c r="F11" s="54">
        <f>SUM(F10)</f>
        <v>16.149999999999999</v>
      </c>
      <c r="G11" s="54">
        <f>SUM(G10)</f>
        <v>68</v>
      </c>
      <c r="H11" s="54">
        <f>SUM(H10)</f>
        <v>17</v>
      </c>
      <c r="I11" s="55"/>
    </row>
    <row r="12" spans="1:9">
      <c r="A12" s="39"/>
      <c r="B12" s="145" t="s">
        <v>24</v>
      </c>
      <c r="C12" s="146"/>
      <c r="D12" s="146"/>
      <c r="E12" s="146"/>
      <c r="F12" s="146"/>
      <c r="G12" s="146"/>
      <c r="H12" s="146"/>
      <c r="I12" s="147"/>
    </row>
    <row r="13" spans="1:9">
      <c r="A13" s="14">
        <v>56</v>
      </c>
      <c r="B13" s="30" t="s">
        <v>25</v>
      </c>
      <c r="C13" s="108" t="s">
        <v>83</v>
      </c>
      <c r="D13" s="54">
        <v>4.42</v>
      </c>
      <c r="E13" s="54">
        <v>5.42</v>
      </c>
      <c r="F13" s="54">
        <v>0.76</v>
      </c>
      <c r="G13" s="54">
        <v>96.67</v>
      </c>
      <c r="H13" s="54">
        <v>0.83</v>
      </c>
      <c r="I13" s="55">
        <v>33</v>
      </c>
    </row>
    <row r="14" spans="1:9" ht="140.4">
      <c r="A14" s="14">
        <v>47</v>
      </c>
      <c r="B14" s="30" t="s">
        <v>27</v>
      </c>
      <c r="C14" s="84" t="s">
        <v>180</v>
      </c>
      <c r="D14" s="54">
        <v>8.6999999999999993</v>
      </c>
      <c r="E14" s="54">
        <v>3.52</v>
      </c>
      <c r="F14" s="54">
        <v>17.57</v>
      </c>
      <c r="G14" s="54">
        <v>133.33000000000001</v>
      </c>
      <c r="H14" s="54">
        <v>4.58</v>
      </c>
      <c r="I14" s="55">
        <v>47</v>
      </c>
    </row>
    <row r="15" spans="1:9">
      <c r="A15" s="14">
        <v>19</v>
      </c>
      <c r="B15" s="30" t="s">
        <v>29</v>
      </c>
      <c r="C15" s="25" t="s">
        <v>30</v>
      </c>
      <c r="D15" s="54">
        <v>14.25</v>
      </c>
      <c r="E15" s="54">
        <v>10.029999999999999</v>
      </c>
      <c r="F15" s="54">
        <v>14.66</v>
      </c>
      <c r="G15" s="54">
        <v>210</v>
      </c>
      <c r="H15" s="54">
        <v>8.32</v>
      </c>
      <c r="I15" s="55">
        <v>19</v>
      </c>
    </row>
    <row r="16" spans="1:9">
      <c r="A16" s="14">
        <v>54</v>
      </c>
      <c r="B16" s="30" t="s">
        <v>31</v>
      </c>
      <c r="C16" s="83">
        <v>200</v>
      </c>
      <c r="D16" s="54">
        <v>0.15</v>
      </c>
      <c r="E16" s="54">
        <v>0.1</v>
      </c>
      <c r="F16" s="54">
        <v>16.59</v>
      </c>
      <c r="G16" s="54">
        <v>70</v>
      </c>
      <c r="H16" s="54">
        <v>3</v>
      </c>
      <c r="I16" s="55">
        <v>20</v>
      </c>
    </row>
    <row r="17" spans="1:9">
      <c r="A17" s="14" t="s">
        <v>20</v>
      </c>
      <c r="B17" s="30" t="s">
        <v>32</v>
      </c>
      <c r="C17" s="53">
        <v>30</v>
      </c>
      <c r="D17" s="54">
        <v>2.2799999999999998</v>
      </c>
      <c r="E17" s="54">
        <v>0.24</v>
      </c>
      <c r="F17" s="54">
        <v>14.76</v>
      </c>
      <c r="G17" s="54">
        <v>70.5</v>
      </c>
      <c r="H17" s="54">
        <v>0</v>
      </c>
      <c r="I17" s="55" t="s">
        <v>20</v>
      </c>
    </row>
    <row r="18" spans="1:9">
      <c r="A18" s="14" t="s">
        <v>20</v>
      </c>
      <c r="B18" s="30" t="s">
        <v>33</v>
      </c>
      <c r="C18" s="53">
        <v>50</v>
      </c>
      <c r="D18" s="54">
        <v>3.3</v>
      </c>
      <c r="E18" s="54">
        <v>0.6</v>
      </c>
      <c r="F18" s="54">
        <v>17</v>
      </c>
      <c r="G18" s="54">
        <v>90.5</v>
      </c>
      <c r="H18" s="54">
        <v>0</v>
      </c>
      <c r="I18" s="55" t="s">
        <v>20</v>
      </c>
    </row>
    <row r="19" spans="1:9">
      <c r="A19" s="27"/>
      <c r="B19" s="58" t="s">
        <v>34</v>
      </c>
      <c r="C19" s="83">
        <v>710</v>
      </c>
      <c r="D19" s="79">
        <f>SUM(D13:D18)</f>
        <v>33.099999999999994</v>
      </c>
      <c r="E19" s="79">
        <f>SUM(E13:E18)</f>
        <v>19.91</v>
      </c>
      <c r="F19" s="79">
        <f>SUM(F13:F18)</f>
        <v>81.34</v>
      </c>
      <c r="G19" s="79">
        <f>SUM(G13:G18)</f>
        <v>671</v>
      </c>
      <c r="H19" s="79">
        <f>SUM(H13:H18)</f>
        <v>16.73</v>
      </c>
      <c r="I19" s="59"/>
    </row>
    <row r="20" spans="1:9">
      <c r="A20" s="14"/>
      <c r="B20" s="148" t="s">
        <v>35</v>
      </c>
      <c r="C20" s="149"/>
      <c r="D20" s="149"/>
      <c r="E20" s="149"/>
      <c r="F20" s="149"/>
      <c r="G20" s="149"/>
      <c r="H20" s="149"/>
      <c r="I20" s="150"/>
    </row>
    <row r="21" spans="1:9" ht="210.6">
      <c r="A21" s="14"/>
      <c r="B21" s="30" t="s">
        <v>36</v>
      </c>
      <c r="C21" s="84" t="s">
        <v>83</v>
      </c>
      <c r="D21" s="54">
        <v>1</v>
      </c>
      <c r="E21" s="54">
        <v>2</v>
      </c>
      <c r="F21" s="54">
        <v>21.43</v>
      </c>
      <c r="G21" s="54">
        <v>128.57</v>
      </c>
      <c r="H21" s="54">
        <v>0</v>
      </c>
      <c r="I21" s="55" t="s">
        <v>20</v>
      </c>
    </row>
    <row r="22" spans="1:9" ht="140.4">
      <c r="A22" s="14"/>
      <c r="B22" s="30" t="s">
        <v>38</v>
      </c>
      <c r="C22" s="25" t="s">
        <v>176</v>
      </c>
      <c r="D22" s="54">
        <v>5.8</v>
      </c>
      <c r="E22" s="54">
        <v>5</v>
      </c>
      <c r="F22" s="54">
        <v>8</v>
      </c>
      <c r="G22" s="54">
        <v>106</v>
      </c>
      <c r="H22" s="54">
        <v>1.4</v>
      </c>
      <c r="I22" s="55" t="s">
        <v>40</v>
      </c>
    </row>
    <row r="23" spans="1:9">
      <c r="A23" s="14"/>
      <c r="B23" s="30" t="s">
        <v>34</v>
      </c>
      <c r="C23" s="57">
        <f t="shared" ref="C23:H23" si="0">C21+C22</f>
        <v>250</v>
      </c>
      <c r="D23" s="54">
        <f t="shared" si="0"/>
        <v>6.8</v>
      </c>
      <c r="E23" s="54">
        <f t="shared" si="0"/>
        <v>7</v>
      </c>
      <c r="F23" s="54">
        <f t="shared" si="0"/>
        <v>29.43</v>
      </c>
      <c r="G23" s="54">
        <f t="shared" si="0"/>
        <v>234.57</v>
      </c>
      <c r="H23" s="54">
        <f t="shared" si="0"/>
        <v>1.4</v>
      </c>
      <c r="I23" s="55"/>
    </row>
    <row r="24" spans="1:9">
      <c r="A24" s="6"/>
      <c r="B24" s="148" t="s">
        <v>41</v>
      </c>
      <c r="C24" s="149"/>
      <c r="D24" s="149"/>
      <c r="E24" s="149"/>
      <c r="F24" s="149"/>
      <c r="G24" s="149"/>
      <c r="H24" s="149"/>
      <c r="I24" s="150"/>
    </row>
    <row r="25" spans="1:9" ht="140.4">
      <c r="A25" s="14">
        <v>4</v>
      </c>
      <c r="B25" s="30" t="s">
        <v>42</v>
      </c>
      <c r="C25" s="108" t="s">
        <v>13</v>
      </c>
      <c r="D25" s="54">
        <v>12.3</v>
      </c>
      <c r="E25" s="54">
        <v>18</v>
      </c>
      <c r="F25" s="54">
        <v>31.7</v>
      </c>
      <c r="G25" s="54">
        <f>D249+E25*9+F25*4</f>
        <v>288.8</v>
      </c>
      <c r="H25" s="54">
        <v>0.7</v>
      </c>
      <c r="I25" s="55">
        <v>4</v>
      </c>
    </row>
    <row r="26" spans="1:9">
      <c r="A26" s="14"/>
      <c r="B26" s="30" t="s">
        <v>43</v>
      </c>
      <c r="C26" s="108" t="s">
        <v>67</v>
      </c>
      <c r="D26" s="54">
        <v>2.16</v>
      </c>
      <c r="E26" s="54">
        <v>2.5499999999999998</v>
      </c>
      <c r="F26" s="54">
        <v>16.649999999999999</v>
      </c>
      <c r="G26" s="54">
        <v>98.4</v>
      </c>
      <c r="H26" s="54">
        <v>0.3</v>
      </c>
      <c r="I26" s="55">
        <v>77</v>
      </c>
    </row>
    <row r="27" spans="1:9" ht="280.8">
      <c r="A27" s="14"/>
      <c r="B27" s="30" t="s">
        <v>44</v>
      </c>
      <c r="C27" s="25" t="s">
        <v>22</v>
      </c>
      <c r="D27" s="54">
        <v>1.5</v>
      </c>
      <c r="E27" s="54">
        <v>0.5</v>
      </c>
      <c r="F27" s="54">
        <v>21</v>
      </c>
      <c r="G27" s="54">
        <v>96</v>
      </c>
      <c r="H27" s="54">
        <v>10</v>
      </c>
      <c r="I27" s="55">
        <v>76</v>
      </c>
    </row>
    <row r="28" spans="1:9">
      <c r="A28" s="14">
        <v>2</v>
      </c>
      <c r="B28" s="30" t="s">
        <v>45</v>
      </c>
      <c r="C28" s="83">
        <v>200</v>
      </c>
      <c r="D28" s="54">
        <v>2.62</v>
      </c>
      <c r="E28" s="54">
        <v>2.17</v>
      </c>
      <c r="F28" s="54">
        <v>10.88</v>
      </c>
      <c r="G28" s="54">
        <v>74</v>
      </c>
      <c r="H28" s="54">
        <v>1.01</v>
      </c>
      <c r="I28" s="55">
        <v>15</v>
      </c>
    </row>
    <row r="29" spans="1:9">
      <c r="A29" s="14"/>
      <c r="B29" s="30" t="s">
        <v>34</v>
      </c>
      <c r="C29" s="83">
        <f t="shared" ref="C29:H29" si="1">C25+C26+C27+C28</f>
        <v>480</v>
      </c>
      <c r="D29" s="54">
        <f t="shared" si="1"/>
        <v>18.580000000000002</v>
      </c>
      <c r="E29" s="54">
        <f t="shared" si="1"/>
        <v>23.22</v>
      </c>
      <c r="F29" s="54">
        <f t="shared" si="1"/>
        <v>80.22999999999999</v>
      </c>
      <c r="G29" s="54">
        <f t="shared" si="1"/>
        <v>557.20000000000005</v>
      </c>
      <c r="H29" s="54">
        <f t="shared" si="1"/>
        <v>12.01</v>
      </c>
      <c r="I29" s="55"/>
    </row>
    <row r="30" spans="1:9">
      <c r="A30" s="14"/>
      <c r="B30" s="30"/>
      <c r="C30" s="84"/>
      <c r="D30" s="60" t="s">
        <v>7</v>
      </c>
      <c r="E30" s="61" t="s">
        <v>8</v>
      </c>
      <c r="F30" s="61" t="s">
        <v>9</v>
      </c>
      <c r="G30" s="62" t="s">
        <v>46</v>
      </c>
      <c r="H30" s="61" t="s">
        <v>47</v>
      </c>
      <c r="I30" s="55"/>
    </row>
    <row r="31" spans="1:9">
      <c r="A31" s="14"/>
      <c r="B31" s="63" t="s">
        <v>48</v>
      </c>
      <c r="C31" s="84"/>
      <c r="D31" s="54">
        <f>SUM(D8+D11+D19+D29+D23)</f>
        <v>70.529999999999987</v>
      </c>
      <c r="E31" s="54">
        <f>SUM(E8+E11+E19+E29+E23)</f>
        <v>65.17</v>
      </c>
      <c r="F31" s="54">
        <f>SUM(F8+F11+F19+F29+F23)</f>
        <v>257.04999999999995</v>
      </c>
      <c r="G31" s="54">
        <f>SUM(G8+G11+G19+G29+G23)</f>
        <v>1912.77</v>
      </c>
      <c r="H31" s="54">
        <f>SUM(H8+H11+H19+H29+H23)</f>
        <v>49.19</v>
      </c>
      <c r="I31" s="55"/>
    </row>
    <row r="32" spans="1:9">
      <c r="A32" s="14"/>
      <c r="B32" s="63" t="s">
        <v>49</v>
      </c>
      <c r="C32" s="84"/>
      <c r="D32" s="54">
        <v>54</v>
      </c>
      <c r="E32" s="54">
        <v>60</v>
      </c>
      <c r="F32" s="54">
        <v>261</v>
      </c>
      <c r="G32" s="54">
        <v>1800</v>
      </c>
      <c r="H32" s="54">
        <v>50</v>
      </c>
      <c r="I32" s="55"/>
    </row>
    <row r="33" spans="1:9" ht="139.19999999999999">
      <c r="A33" s="33"/>
      <c r="B33" s="64" t="s">
        <v>50</v>
      </c>
      <c r="C33" s="81"/>
      <c r="D33" s="65">
        <f>D31*100/D32</f>
        <v>130.61111111111109</v>
      </c>
      <c r="E33" s="65">
        <f>E31*100/E32</f>
        <v>108.61666666666666</v>
      </c>
      <c r="F33" s="65">
        <f>F31*100/F32</f>
        <v>98.486590038314162</v>
      </c>
      <c r="G33" s="65">
        <f>G31*100/G32</f>
        <v>106.265</v>
      </c>
      <c r="H33" s="65">
        <f>H31*100/H32</f>
        <v>98.38</v>
      </c>
      <c r="I33" s="56"/>
    </row>
    <row r="34" spans="1:9">
      <c r="A34" s="35"/>
      <c r="B34" s="67"/>
      <c r="C34" s="68"/>
      <c r="D34" s="69"/>
      <c r="E34" s="69"/>
      <c r="F34" s="69"/>
      <c r="G34" s="69"/>
      <c r="H34" s="69"/>
      <c r="I34" s="70"/>
    </row>
    <row r="35" spans="1:9">
      <c r="A35" s="35"/>
      <c r="B35" s="71" t="s">
        <v>51</v>
      </c>
      <c r="C35" s="71"/>
      <c r="D35" s="71"/>
      <c r="E35" s="69"/>
      <c r="F35" s="69"/>
      <c r="G35" s="69"/>
      <c r="H35" s="69"/>
      <c r="I35" s="70"/>
    </row>
    <row r="36" spans="1:9">
      <c r="A36" s="35"/>
      <c r="B36" s="71" t="s">
        <v>181</v>
      </c>
      <c r="C36" s="72"/>
      <c r="D36" s="71"/>
      <c r="E36" s="71"/>
      <c r="F36" s="71"/>
      <c r="G36" s="71"/>
      <c r="H36" s="71"/>
      <c r="I36" s="70"/>
    </row>
    <row r="37" spans="1:9">
      <c r="A37" s="152" t="s">
        <v>0</v>
      </c>
      <c r="B37" s="145" t="s">
        <v>1</v>
      </c>
      <c r="C37" s="176" t="s">
        <v>2</v>
      </c>
      <c r="D37" s="145" t="s">
        <v>3</v>
      </c>
      <c r="E37" s="146"/>
      <c r="F37" s="147"/>
      <c r="G37" s="145" t="s">
        <v>4</v>
      </c>
      <c r="H37" s="145" t="s">
        <v>5</v>
      </c>
      <c r="I37" s="141" t="s">
        <v>6</v>
      </c>
    </row>
    <row r="38" spans="1:9">
      <c r="A38" s="153"/>
      <c r="B38" s="151"/>
      <c r="C38" s="175"/>
      <c r="D38" s="60" t="s">
        <v>7</v>
      </c>
      <c r="E38" s="61" t="s">
        <v>8</v>
      </c>
      <c r="F38" s="61" t="s">
        <v>9</v>
      </c>
      <c r="G38" s="151"/>
      <c r="H38" s="151"/>
      <c r="I38" s="142"/>
    </row>
    <row r="39" spans="1:9">
      <c r="A39" s="39"/>
      <c r="B39" s="93" t="s">
        <v>53</v>
      </c>
      <c r="C39" s="105"/>
      <c r="D39" s="105"/>
      <c r="E39" s="105"/>
      <c r="F39" s="105"/>
      <c r="G39" s="105"/>
      <c r="H39" s="105"/>
      <c r="I39" s="106"/>
    </row>
    <row r="40" spans="1:9">
      <c r="A40" s="39"/>
      <c r="B40" s="145" t="s">
        <v>11</v>
      </c>
      <c r="C40" s="146"/>
      <c r="D40" s="146"/>
      <c r="E40" s="146"/>
      <c r="F40" s="146"/>
      <c r="G40" s="146"/>
      <c r="H40" s="146"/>
      <c r="I40" s="147"/>
    </row>
    <row r="41" spans="1:9">
      <c r="A41" s="14">
        <v>1</v>
      </c>
      <c r="B41" s="58" t="s">
        <v>55</v>
      </c>
      <c r="C41" s="53">
        <v>160</v>
      </c>
      <c r="D41" s="79">
        <v>13.96</v>
      </c>
      <c r="E41" s="79">
        <v>14.46</v>
      </c>
      <c r="F41" s="79">
        <v>3.79</v>
      </c>
      <c r="G41" s="79">
        <v>199</v>
      </c>
      <c r="H41" s="79">
        <v>0.84</v>
      </c>
      <c r="I41" s="59">
        <v>37</v>
      </c>
    </row>
    <row r="42" spans="1:9" ht="210.6">
      <c r="A42" s="14"/>
      <c r="B42" s="30" t="s">
        <v>56</v>
      </c>
      <c r="C42" s="77" t="s">
        <v>99</v>
      </c>
      <c r="D42" s="54">
        <v>1.08</v>
      </c>
      <c r="E42" s="54">
        <v>4.2300000000000004</v>
      </c>
      <c r="F42" s="54">
        <v>6.93</v>
      </c>
      <c r="G42" s="54">
        <v>70.2</v>
      </c>
      <c r="H42" s="54">
        <v>8.64</v>
      </c>
      <c r="I42" s="59">
        <v>26</v>
      </c>
    </row>
    <row r="43" spans="1:9">
      <c r="A43" s="14"/>
      <c r="B43" s="58" t="s">
        <v>58</v>
      </c>
      <c r="C43" s="83">
        <v>200</v>
      </c>
      <c r="D43" s="79">
        <v>0.04</v>
      </c>
      <c r="E43" s="79">
        <v>0</v>
      </c>
      <c r="F43" s="79">
        <v>7.14</v>
      </c>
      <c r="G43" s="79">
        <v>30</v>
      </c>
      <c r="H43" s="79">
        <v>2</v>
      </c>
      <c r="I43" s="80">
        <v>31</v>
      </c>
    </row>
    <row r="44" spans="1:9">
      <c r="A44" s="14"/>
      <c r="B44" s="30" t="s">
        <v>15</v>
      </c>
      <c r="C44" s="84" t="s">
        <v>177</v>
      </c>
      <c r="D44" s="54">
        <v>4.96</v>
      </c>
      <c r="E44" s="54">
        <v>7.6</v>
      </c>
      <c r="F44" s="54">
        <v>12.36</v>
      </c>
      <c r="G44" s="54">
        <v>138</v>
      </c>
      <c r="H44" s="54">
        <v>0.09</v>
      </c>
      <c r="I44" s="55">
        <v>3</v>
      </c>
    </row>
    <row r="45" spans="1:9">
      <c r="A45" s="14"/>
      <c r="B45" s="30" t="s">
        <v>17</v>
      </c>
      <c r="C45" s="83">
        <v>493</v>
      </c>
      <c r="D45" s="54">
        <f>D41+D42+D43+D44</f>
        <v>20.04</v>
      </c>
      <c r="E45" s="54">
        <f>E41+E42+E43+E44</f>
        <v>26.29</v>
      </c>
      <c r="F45" s="54">
        <f>F41+F42+F43+F44</f>
        <v>30.22</v>
      </c>
      <c r="G45" s="54">
        <f>G41+G42+G43+G44</f>
        <v>437.2</v>
      </c>
      <c r="H45" s="54">
        <f>H41+H42+H43+H44</f>
        <v>11.57</v>
      </c>
      <c r="I45" s="55"/>
    </row>
    <row r="46" spans="1:9">
      <c r="A46" s="39"/>
      <c r="B46" s="145" t="s">
        <v>19</v>
      </c>
      <c r="C46" s="146"/>
      <c r="D46" s="146"/>
      <c r="E46" s="146"/>
      <c r="F46" s="146"/>
      <c r="G46" s="146"/>
      <c r="H46" s="146"/>
      <c r="I46" s="147"/>
    </row>
    <row r="47" spans="1:9">
      <c r="A47" s="14" t="s">
        <v>20</v>
      </c>
      <c r="B47" s="30" t="s">
        <v>21</v>
      </c>
      <c r="C47" s="77" t="s">
        <v>13</v>
      </c>
      <c r="D47" s="54">
        <v>0.3</v>
      </c>
      <c r="E47" s="54">
        <v>0.15</v>
      </c>
      <c r="F47" s="54">
        <v>15.15</v>
      </c>
      <c r="G47" s="54">
        <v>69</v>
      </c>
      <c r="H47" s="54">
        <v>3</v>
      </c>
      <c r="I47" s="55" t="s">
        <v>20</v>
      </c>
    </row>
    <row r="48" spans="1:9">
      <c r="A48" s="14"/>
      <c r="B48" s="30" t="s">
        <v>17</v>
      </c>
      <c r="C48" s="53" t="str">
        <f t="shared" ref="C48:H48" si="2">C47</f>
        <v>150</v>
      </c>
      <c r="D48" s="54">
        <f t="shared" si="2"/>
        <v>0.3</v>
      </c>
      <c r="E48" s="54">
        <f t="shared" si="2"/>
        <v>0.15</v>
      </c>
      <c r="F48" s="54">
        <f t="shared" si="2"/>
        <v>15.15</v>
      </c>
      <c r="G48" s="54">
        <f t="shared" si="2"/>
        <v>69</v>
      </c>
      <c r="H48" s="54">
        <f t="shared" si="2"/>
        <v>3</v>
      </c>
      <c r="I48" s="55"/>
    </row>
    <row r="49" spans="1:9">
      <c r="A49" s="33"/>
      <c r="B49" s="145" t="s">
        <v>24</v>
      </c>
      <c r="C49" s="146"/>
      <c r="D49" s="146"/>
      <c r="E49" s="146"/>
      <c r="F49" s="146"/>
      <c r="G49" s="146"/>
      <c r="H49" s="146"/>
      <c r="I49" s="147"/>
    </row>
    <row r="50" spans="1:9">
      <c r="A50" s="27">
        <v>17</v>
      </c>
      <c r="B50" s="78" t="s">
        <v>59</v>
      </c>
      <c r="C50" s="77" t="s">
        <v>69</v>
      </c>
      <c r="D50" s="54">
        <v>1.03</v>
      </c>
      <c r="E50" s="54">
        <v>5.05</v>
      </c>
      <c r="F50" s="54">
        <v>5.58</v>
      </c>
      <c r="G50" s="54">
        <v>72</v>
      </c>
      <c r="H50" s="54">
        <v>5.01</v>
      </c>
      <c r="I50" s="59">
        <v>18</v>
      </c>
    </row>
    <row r="51" spans="1:9" ht="210.6">
      <c r="A51" s="14">
        <v>34</v>
      </c>
      <c r="B51" s="30" t="s">
        <v>60</v>
      </c>
      <c r="C51" s="108" t="s">
        <v>182</v>
      </c>
      <c r="D51" s="54">
        <v>6.73</v>
      </c>
      <c r="E51" s="54">
        <v>6.07</v>
      </c>
      <c r="F51" s="54">
        <v>4.07</v>
      </c>
      <c r="G51" s="54">
        <v>102.04</v>
      </c>
      <c r="H51" s="54">
        <v>19.71</v>
      </c>
      <c r="I51" s="55">
        <v>34</v>
      </c>
    </row>
    <row r="52" spans="1:9">
      <c r="A52" s="14"/>
      <c r="B52" s="30" t="s">
        <v>62</v>
      </c>
      <c r="C52" s="84" t="s">
        <v>183</v>
      </c>
      <c r="D52" s="54">
        <v>6.83</v>
      </c>
      <c r="E52" s="54">
        <v>10.23</v>
      </c>
      <c r="F52" s="54">
        <v>2.75</v>
      </c>
      <c r="G52" s="54">
        <v>131</v>
      </c>
      <c r="H52" s="54">
        <v>0.36</v>
      </c>
      <c r="I52" s="55">
        <v>35</v>
      </c>
    </row>
    <row r="53" spans="1:9">
      <c r="A53" s="14">
        <v>26</v>
      </c>
      <c r="B53" s="30" t="s">
        <v>64</v>
      </c>
      <c r="C53" s="53">
        <v>185</v>
      </c>
      <c r="D53" s="54">
        <v>10.53</v>
      </c>
      <c r="E53" s="54">
        <v>8.15</v>
      </c>
      <c r="F53" s="54">
        <v>47.64</v>
      </c>
      <c r="G53" s="54">
        <v>305</v>
      </c>
      <c r="H53" s="54">
        <v>0</v>
      </c>
      <c r="I53" s="59">
        <v>65</v>
      </c>
    </row>
    <row r="54" spans="1:9">
      <c r="A54" s="14">
        <v>9</v>
      </c>
      <c r="B54" s="30" t="s">
        <v>65</v>
      </c>
      <c r="C54" s="83">
        <v>200</v>
      </c>
      <c r="D54" s="54">
        <v>0.55000000000000004</v>
      </c>
      <c r="E54" s="54">
        <v>0</v>
      </c>
      <c r="F54" s="54">
        <v>18.14</v>
      </c>
      <c r="G54" s="54">
        <v>78</v>
      </c>
      <c r="H54" s="54">
        <v>0.5</v>
      </c>
      <c r="I54" s="55">
        <v>9</v>
      </c>
    </row>
    <row r="55" spans="1:9">
      <c r="A55" s="14" t="s">
        <v>20</v>
      </c>
      <c r="B55" s="30" t="s">
        <v>32</v>
      </c>
      <c r="C55" s="53">
        <v>30</v>
      </c>
      <c r="D55" s="54">
        <v>2.2799999999999998</v>
      </c>
      <c r="E55" s="54">
        <v>0.24</v>
      </c>
      <c r="F55" s="54">
        <v>14.76</v>
      </c>
      <c r="G55" s="54">
        <v>70.5</v>
      </c>
      <c r="H55" s="54">
        <v>0</v>
      </c>
      <c r="I55" s="55" t="s">
        <v>20</v>
      </c>
    </row>
    <row r="56" spans="1:9">
      <c r="A56" s="14" t="s">
        <v>20</v>
      </c>
      <c r="B56" s="30" t="s">
        <v>33</v>
      </c>
      <c r="C56" s="53">
        <v>50</v>
      </c>
      <c r="D56" s="54">
        <v>3.3</v>
      </c>
      <c r="E56" s="54">
        <v>0.6</v>
      </c>
      <c r="F56" s="54">
        <v>17</v>
      </c>
      <c r="G56" s="54">
        <v>90.5</v>
      </c>
      <c r="H56" s="54">
        <v>0</v>
      </c>
      <c r="I56" s="55" t="s">
        <v>20</v>
      </c>
    </row>
    <row r="57" spans="1:9">
      <c r="A57" s="33"/>
      <c r="B57" s="30" t="s">
        <v>17</v>
      </c>
      <c r="C57" s="84" t="s">
        <v>184</v>
      </c>
      <c r="D57" s="54">
        <f>SUM(D50:D56)</f>
        <v>31.25</v>
      </c>
      <c r="E57" s="54">
        <f>SUM(E50:E56)</f>
        <v>30.34</v>
      </c>
      <c r="F57" s="54">
        <f>SUM(F50:F56)</f>
        <v>109.94000000000001</v>
      </c>
      <c r="G57" s="54">
        <f>SUM(G50:G56)</f>
        <v>849.04</v>
      </c>
      <c r="H57" s="54">
        <f>SUM(H50:H56)</f>
        <v>25.58</v>
      </c>
      <c r="I57" s="56"/>
    </row>
    <row r="58" spans="1:9">
      <c r="A58" s="33"/>
      <c r="B58" s="148" t="s">
        <v>35</v>
      </c>
      <c r="C58" s="149"/>
      <c r="D58" s="149"/>
      <c r="E58" s="149"/>
      <c r="F58" s="149"/>
      <c r="G58" s="149"/>
      <c r="H58" s="149"/>
      <c r="I58" s="150"/>
    </row>
    <row r="59" spans="1:9" ht="210.6">
      <c r="A59" s="33"/>
      <c r="B59" s="30" t="s">
        <v>36</v>
      </c>
      <c r="C59" s="84" t="s">
        <v>83</v>
      </c>
      <c r="D59" s="54">
        <v>1</v>
      </c>
      <c r="E59" s="54">
        <v>2</v>
      </c>
      <c r="F59" s="54">
        <v>21.43</v>
      </c>
      <c r="G59" s="54">
        <v>128.57</v>
      </c>
      <c r="H59" s="54">
        <v>0</v>
      </c>
      <c r="I59" s="55" t="s">
        <v>20</v>
      </c>
    </row>
    <row r="60" spans="1:9" ht="140.4">
      <c r="A60" s="33"/>
      <c r="B60" s="30" t="s">
        <v>38</v>
      </c>
      <c r="C60" s="25" t="s">
        <v>176</v>
      </c>
      <c r="D60" s="54">
        <v>5.8</v>
      </c>
      <c r="E60" s="54">
        <v>5</v>
      </c>
      <c r="F60" s="54">
        <v>8</v>
      </c>
      <c r="G60" s="54">
        <v>106</v>
      </c>
      <c r="H60" s="54">
        <v>1.4</v>
      </c>
      <c r="I60" s="55" t="s">
        <v>40</v>
      </c>
    </row>
    <row r="61" spans="1:9">
      <c r="A61" s="33"/>
      <c r="B61" s="30" t="s">
        <v>34</v>
      </c>
      <c r="C61" s="57">
        <f t="shared" ref="C61:H61" si="3">C59+C60</f>
        <v>250</v>
      </c>
      <c r="D61" s="54">
        <f t="shared" si="3"/>
        <v>6.8</v>
      </c>
      <c r="E61" s="54">
        <f t="shared" si="3"/>
        <v>7</v>
      </c>
      <c r="F61" s="54">
        <f t="shared" si="3"/>
        <v>29.43</v>
      </c>
      <c r="G61" s="54">
        <f t="shared" si="3"/>
        <v>234.57</v>
      </c>
      <c r="H61" s="54">
        <f t="shared" si="3"/>
        <v>1.4</v>
      </c>
      <c r="I61" s="55"/>
    </row>
    <row r="62" spans="1:9">
      <c r="A62" s="33"/>
      <c r="B62" s="148" t="s">
        <v>41</v>
      </c>
      <c r="C62" s="149"/>
      <c r="D62" s="149"/>
      <c r="E62" s="149"/>
      <c r="F62" s="149"/>
      <c r="G62" s="149"/>
      <c r="H62" s="149"/>
      <c r="I62" s="150"/>
    </row>
    <row r="63" spans="1:9" ht="140.4">
      <c r="A63" s="33"/>
      <c r="B63" s="30" t="s">
        <v>68</v>
      </c>
      <c r="C63" s="84" t="s">
        <v>108</v>
      </c>
      <c r="D63" s="54">
        <v>6.83</v>
      </c>
      <c r="E63" s="54">
        <v>3.81</v>
      </c>
      <c r="F63" s="54">
        <v>24.76</v>
      </c>
      <c r="G63" s="54">
        <v>99.75</v>
      </c>
      <c r="H63" s="54">
        <v>0.37</v>
      </c>
      <c r="I63" s="59" t="s">
        <v>70</v>
      </c>
    </row>
    <row r="64" spans="1:9" ht="140.4">
      <c r="A64" s="33"/>
      <c r="B64" s="78" t="s">
        <v>71</v>
      </c>
      <c r="C64" s="77" t="s">
        <v>69</v>
      </c>
      <c r="D64" s="54">
        <v>0.48</v>
      </c>
      <c r="E64" s="54">
        <v>0.06</v>
      </c>
      <c r="F64" s="54">
        <v>1.5</v>
      </c>
      <c r="G64" s="54">
        <v>8.4</v>
      </c>
      <c r="H64" s="54">
        <v>6</v>
      </c>
      <c r="I64" s="59">
        <v>89</v>
      </c>
    </row>
    <row r="65" spans="1:9">
      <c r="A65" s="6"/>
      <c r="B65" s="30" t="s">
        <v>72</v>
      </c>
      <c r="C65" s="53">
        <v>130</v>
      </c>
      <c r="D65" s="54">
        <v>2.4700000000000002</v>
      </c>
      <c r="E65" s="54">
        <v>5.33</v>
      </c>
      <c r="F65" s="54">
        <v>16.510000000000002</v>
      </c>
      <c r="G65" s="54">
        <v>123.5</v>
      </c>
      <c r="H65" s="54">
        <v>18.07</v>
      </c>
      <c r="I65" s="55">
        <v>75</v>
      </c>
    </row>
    <row r="66" spans="1:9">
      <c r="A66" s="14" t="s">
        <v>20</v>
      </c>
      <c r="B66" s="30" t="s">
        <v>32</v>
      </c>
      <c r="C66" s="53">
        <v>25</v>
      </c>
      <c r="D66" s="54">
        <v>1.9</v>
      </c>
      <c r="E66" s="54">
        <v>0.2</v>
      </c>
      <c r="F66" s="54">
        <v>12.3</v>
      </c>
      <c r="G66" s="54">
        <v>58.75</v>
      </c>
      <c r="H66" s="54">
        <v>0</v>
      </c>
      <c r="I66" s="55" t="s">
        <v>20</v>
      </c>
    </row>
    <row r="67" spans="1:9" ht="280.8">
      <c r="A67" s="14"/>
      <c r="B67" s="30" t="s">
        <v>44</v>
      </c>
      <c r="C67" s="25" t="s">
        <v>57</v>
      </c>
      <c r="D67" s="54">
        <v>1.2</v>
      </c>
      <c r="E67" s="54">
        <v>0.4</v>
      </c>
      <c r="F67" s="54">
        <v>16.8</v>
      </c>
      <c r="G67" s="54">
        <v>76.8</v>
      </c>
      <c r="H67" s="54">
        <v>8</v>
      </c>
      <c r="I67" s="55">
        <v>76</v>
      </c>
    </row>
    <row r="68" spans="1:9">
      <c r="A68" s="47">
        <v>59</v>
      </c>
      <c r="B68" s="30" t="s">
        <v>73</v>
      </c>
      <c r="C68" s="83">
        <v>200</v>
      </c>
      <c r="D68" s="79">
        <v>2.66</v>
      </c>
      <c r="E68" s="79">
        <v>2.15</v>
      </c>
      <c r="F68" s="79">
        <v>10.93</v>
      </c>
      <c r="G68" s="79">
        <v>72</v>
      </c>
      <c r="H68" s="79">
        <v>1.01</v>
      </c>
      <c r="I68" s="55">
        <v>2</v>
      </c>
    </row>
    <row r="69" spans="1:9">
      <c r="A69" s="33"/>
      <c r="B69" s="30" t="s">
        <v>17</v>
      </c>
      <c r="C69" s="83">
        <f t="shared" ref="C69:H69" si="4">C63+C64+C65+C66+C67+C68</f>
        <v>565</v>
      </c>
      <c r="D69" s="54">
        <f t="shared" si="4"/>
        <v>15.540000000000001</v>
      </c>
      <c r="E69" s="54">
        <f t="shared" si="4"/>
        <v>11.95</v>
      </c>
      <c r="F69" s="54">
        <f t="shared" si="4"/>
        <v>82.800000000000011</v>
      </c>
      <c r="G69" s="54">
        <f t="shared" si="4"/>
        <v>439.2</v>
      </c>
      <c r="H69" s="54">
        <f t="shared" si="4"/>
        <v>33.449999999999996</v>
      </c>
      <c r="I69" s="56"/>
    </row>
    <row r="70" spans="1:9">
      <c r="A70" s="14"/>
      <c r="B70" s="30"/>
      <c r="C70" s="84"/>
      <c r="D70" s="60" t="s">
        <v>7</v>
      </c>
      <c r="E70" s="61" t="s">
        <v>8</v>
      </c>
      <c r="F70" s="61" t="s">
        <v>9</v>
      </c>
      <c r="G70" s="62" t="s">
        <v>46</v>
      </c>
      <c r="H70" s="61" t="s">
        <v>47</v>
      </c>
      <c r="I70" s="55"/>
    </row>
    <row r="71" spans="1:9">
      <c r="A71" s="14"/>
      <c r="B71" s="63" t="s">
        <v>74</v>
      </c>
      <c r="C71" s="84"/>
      <c r="D71" s="54">
        <f>SUM(D45+D48+D57+D69+D61)</f>
        <v>73.930000000000007</v>
      </c>
      <c r="E71" s="54">
        <f>SUM(E45+E48+E57+E69+E61)</f>
        <v>75.73</v>
      </c>
      <c r="F71" s="54">
        <f>SUM(F45+F48+F57+F69+F61)</f>
        <v>267.54000000000002</v>
      </c>
      <c r="G71" s="54">
        <f>SUM(G45+G48+G57+G69+G61)</f>
        <v>2029.01</v>
      </c>
      <c r="H71" s="54">
        <f>SUM(H45+H48+H57+H69+H61)</f>
        <v>75</v>
      </c>
      <c r="I71" s="55"/>
    </row>
    <row r="72" spans="1:9">
      <c r="A72" s="14"/>
      <c r="B72" s="63" t="s">
        <v>49</v>
      </c>
      <c r="C72" s="84"/>
      <c r="D72" s="54">
        <v>54</v>
      </c>
      <c r="E72" s="54">
        <v>60</v>
      </c>
      <c r="F72" s="54">
        <v>261</v>
      </c>
      <c r="G72" s="54">
        <v>1800</v>
      </c>
      <c r="H72" s="54">
        <v>50</v>
      </c>
      <c r="I72" s="55"/>
    </row>
    <row r="73" spans="1:9" ht="139.19999999999999">
      <c r="A73" s="33"/>
      <c r="B73" s="64" t="s">
        <v>50</v>
      </c>
      <c r="C73" s="81"/>
      <c r="D73" s="65">
        <f>D71*100/D72</f>
        <v>136.90740740740742</v>
      </c>
      <c r="E73" s="65">
        <f>E71*100/E72</f>
        <v>126.21666666666667</v>
      </c>
      <c r="F73" s="65">
        <f>F71*100/F72</f>
        <v>102.5057471264368</v>
      </c>
      <c r="G73" s="65">
        <f>G71*100/G72</f>
        <v>112.72277777777778</v>
      </c>
      <c r="H73" s="65">
        <f>H71*100/H72</f>
        <v>150</v>
      </c>
      <c r="I73" s="56"/>
    </row>
    <row r="74" spans="1:9">
      <c r="A74" s="35"/>
      <c r="B74" s="67"/>
      <c r="C74" s="68"/>
      <c r="D74" s="69"/>
      <c r="E74" s="69"/>
      <c r="F74" s="69"/>
      <c r="G74" s="69"/>
      <c r="H74" s="69"/>
      <c r="I74" s="70"/>
    </row>
    <row r="75" spans="1:9">
      <c r="A75" s="35"/>
      <c r="B75" s="71" t="s">
        <v>51</v>
      </c>
      <c r="C75" s="71"/>
      <c r="D75" s="71"/>
      <c r="E75" s="69"/>
      <c r="F75" s="69"/>
      <c r="G75" s="69"/>
      <c r="H75" s="69"/>
      <c r="I75" s="70"/>
    </row>
    <row r="76" spans="1:9" s="48" customFormat="1">
      <c r="A76" s="35"/>
      <c r="B76" s="71" t="s">
        <v>181</v>
      </c>
      <c r="C76" s="72"/>
      <c r="D76" s="71"/>
      <c r="E76" s="71"/>
      <c r="F76" s="71"/>
      <c r="G76" s="71"/>
      <c r="H76" s="71"/>
      <c r="I76" s="70"/>
    </row>
    <row r="77" spans="1:9" s="48" customFormat="1">
      <c r="A77" s="152" t="s">
        <v>0</v>
      </c>
      <c r="B77" s="145" t="s">
        <v>1</v>
      </c>
      <c r="C77" s="176" t="s">
        <v>2</v>
      </c>
      <c r="D77" s="145" t="s">
        <v>3</v>
      </c>
      <c r="E77" s="146"/>
      <c r="F77" s="147"/>
      <c r="G77" s="145" t="s">
        <v>4</v>
      </c>
      <c r="H77" s="145" t="s">
        <v>5</v>
      </c>
      <c r="I77" s="141" t="s">
        <v>6</v>
      </c>
    </row>
    <row r="78" spans="1:9">
      <c r="A78" s="153"/>
      <c r="B78" s="151"/>
      <c r="C78" s="175"/>
      <c r="D78" s="60" t="s">
        <v>7</v>
      </c>
      <c r="E78" s="61" t="s">
        <v>8</v>
      </c>
      <c r="F78" s="61" t="s">
        <v>9</v>
      </c>
      <c r="G78" s="151"/>
      <c r="H78" s="151"/>
      <c r="I78" s="142"/>
    </row>
    <row r="79" spans="1:9">
      <c r="A79" s="49"/>
      <c r="B79" s="93" t="s">
        <v>75</v>
      </c>
      <c r="C79" s="105"/>
      <c r="D79" s="105"/>
      <c r="E79" s="105"/>
      <c r="F79" s="105"/>
      <c r="G79" s="105"/>
      <c r="H79" s="105"/>
      <c r="I79" s="106"/>
    </row>
    <row r="80" spans="1:9">
      <c r="A80" s="49"/>
      <c r="B80" s="145" t="s">
        <v>11</v>
      </c>
      <c r="C80" s="146"/>
      <c r="D80" s="146"/>
      <c r="E80" s="146"/>
      <c r="F80" s="146"/>
      <c r="G80" s="146"/>
      <c r="H80" s="146"/>
      <c r="I80" s="147"/>
    </row>
    <row r="81" spans="1:9" ht="140.4">
      <c r="A81" s="27">
        <v>23</v>
      </c>
      <c r="B81" s="30" t="s">
        <v>76</v>
      </c>
      <c r="C81" s="84" t="s">
        <v>176</v>
      </c>
      <c r="D81" s="54">
        <v>6.27</v>
      </c>
      <c r="E81" s="54">
        <v>6.48</v>
      </c>
      <c r="F81" s="54">
        <v>18.38</v>
      </c>
      <c r="G81" s="54">
        <v>158</v>
      </c>
      <c r="H81" s="54">
        <v>0.4</v>
      </c>
      <c r="I81" s="55">
        <v>39</v>
      </c>
    </row>
    <row r="82" spans="1:9">
      <c r="A82" s="14">
        <v>2</v>
      </c>
      <c r="B82" s="30" t="s">
        <v>45</v>
      </c>
      <c r="C82" s="83">
        <v>200</v>
      </c>
      <c r="D82" s="54">
        <v>2.62</v>
      </c>
      <c r="E82" s="54">
        <v>2.17</v>
      </c>
      <c r="F82" s="54">
        <v>10.88</v>
      </c>
      <c r="G82" s="54">
        <v>74</v>
      </c>
      <c r="H82" s="54">
        <v>1.01</v>
      </c>
      <c r="I82" s="55">
        <v>15</v>
      </c>
    </row>
    <row r="83" spans="1:9">
      <c r="A83" s="14">
        <v>3</v>
      </c>
      <c r="B83" s="30" t="s">
        <v>15</v>
      </c>
      <c r="C83" s="84" t="s">
        <v>177</v>
      </c>
      <c r="D83" s="54">
        <v>4.96</v>
      </c>
      <c r="E83" s="54">
        <v>7.6</v>
      </c>
      <c r="F83" s="54">
        <v>12.36</v>
      </c>
      <c r="G83" s="54">
        <v>138</v>
      </c>
      <c r="H83" s="54">
        <v>0.09</v>
      </c>
      <c r="I83" s="55">
        <v>3</v>
      </c>
    </row>
    <row r="84" spans="1:9">
      <c r="A84" s="14"/>
      <c r="B84" s="30" t="s">
        <v>17</v>
      </c>
      <c r="C84" s="53">
        <v>443</v>
      </c>
      <c r="D84" s="54">
        <f>D81+D82+D83</f>
        <v>13.850000000000001</v>
      </c>
      <c r="E84" s="54">
        <f>E81+E82+E83</f>
        <v>16.25</v>
      </c>
      <c r="F84" s="54">
        <f>F81+F82+F83</f>
        <v>41.62</v>
      </c>
      <c r="G84" s="54">
        <f>G81+G82+G83</f>
        <v>370</v>
      </c>
      <c r="H84" s="54">
        <f>H81+H82+H83</f>
        <v>1.5000000000000002</v>
      </c>
      <c r="I84" s="55"/>
    </row>
    <row r="85" spans="1:9">
      <c r="A85" s="39"/>
      <c r="B85" s="145" t="s">
        <v>19</v>
      </c>
      <c r="C85" s="146"/>
      <c r="D85" s="146"/>
      <c r="E85" s="146"/>
      <c r="F85" s="146"/>
      <c r="G85" s="146"/>
      <c r="H85" s="146"/>
      <c r="I85" s="147"/>
    </row>
    <row r="86" spans="1:9">
      <c r="A86" s="14" t="s">
        <v>20</v>
      </c>
      <c r="B86" s="30" t="s">
        <v>21</v>
      </c>
      <c r="C86" s="77" t="s">
        <v>13</v>
      </c>
      <c r="D86" s="54">
        <v>0.3</v>
      </c>
      <c r="E86" s="54">
        <v>0.15</v>
      </c>
      <c r="F86" s="54">
        <v>15.15</v>
      </c>
      <c r="G86" s="54">
        <v>69</v>
      </c>
      <c r="H86" s="54">
        <v>3</v>
      </c>
      <c r="I86" s="55" t="s">
        <v>20</v>
      </c>
    </row>
    <row r="87" spans="1:9">
      <c r="A87" s="14"/>
      <c r="B87" s="30" t="s">
        <v>17</v>
      </c>
      <c r="C87" s="53" t="str">
        <f t="shared" ref="C87:H87" si="5">C86</f>
        <v>150</v>
      </c>
      <c r="D87" s="54">
        <f t="shared" si="5"/>
        <v>0.3</v>
      </c>
      <c r="E87" s="54">
        <f t="shared" si="5"/>
        <v>0.15</v>
      </c>
      <c r="F87" s="54">
        <f t="shared" si="5"/>
        <v>15.15</v>
      </c>
      <c r="G87" s="54">
        <f t="shared" si="5"/>
        <v>69</v>
      </c>
      <c r="H87" s="54">
        <f t="shared" si="5"/>
        <v>3</v>
      </c>
      <c r="I87" s="55"/>
    </row>
    <row r="88" spans="1:9">
      <c r="A88" s="6"/>
      <c r="B88" s="145" t="s">
        <v>24</v>
      </c>
      <c r="C88" s="146"/>
      <c r="D88" s="146"/>
      <c r="E88" s="146"/>
      <c r="F88" s="146"/>
      <c r="G88" s="146"/>
      <c r="H88" s="146"/>
      <c r="I88" s="147"/>
    </row>
    <row r="89" spans="1:9" ht="140.4">
      <c r="A89" s="14">
        <v>24</v>
      </c>
      <c r="B89" s="30" t="s">
        <v>77</v>
      </c>
      <c r="C89" s="77" t="s">
        <v>69</v>
      </c>
      <c r="D89" s="54">
        <v>1.2</v>
      </c>
      <c r="E89" s="54">
        <v>4.58</v>
      </c>
      <c r="F89" s="54">
        <v>3.83</v>
      </c>
      <c r="G89" s="54">
        <v>61.5</v>
      </c>
      <c r="H89" s="54">
        <v>4.13</v>
      </c>
      <c r="I89" s="59">
        <v>66</v>
      </c>
    </row>
    <row r="90" spans="1:9" ht="140.4">
      <c r="A90" s="14">
        <v>25</v>
      </c>
      <c r="B90" s="30" t="s">
        <v>78</v>
      </c>
      <c r="C90" s="84" t="s">
        <v>176</v>
      </c>
      <c r="D90" s="54">
        <v>5.2</v>
      </c>
      <c r="E90" s="54">
        <v>4.24</v>
      </c>
      <c r="F90" s="54">
        <v>11.62</v>
      </c>
      <c r="G90" s="54">
        <v>133.80000000000001</v>
      </c>
      <c r="H90" s="54">
        <v>8.42</v>
      </c>
      <c r="I90" s="55">
        <v>41</v>
      </c>
    </row>
    <row r="91" spans="1:9">
      <c r="A91" s="14">
        <v>6</v>
      </c>
      <c r="B91" s="30" t="s">
        <v>79</v>
      </c>
      <c r="C91" s="25" t="s">
        <v>185</v>
      </c>
      <c r="D91" s="54">
        <v>21.71</v>
      </c>
      <c r="E91" s="54">
        <v>17.739999999999998</v>
      </c>
      <c r="F91" s="54">
        <v>33.83</v>
      </c>
      <c r="G91" s="54">
        <v>376</v>
      </c>
      <c r="H91" s="54">
        <v>1.3</v>
      </c>
      <c r="I91" s="59">
        <v>42</v>
      </c>
    </row>
    <row r="92" spans="1:9">
      <c r="A92" s="14">
        <v>20</v>
      </c>
      <c r="B92" s="58" t="s">
        <v>80</v>
      </c>
      <c r="C92" s="77" t="s">
        <v>176</v>
      </c>
      <c r="D92" s="54">
        <v>0.68</v>
      </c>
      <c r="E92" s="54">
        <v>0.28000000000000003</v>
      </c>
      <c r="F92" s="54">
        <v>16.649999999999999</v>
      </c>
      <c r="G92" s="54">
        <v>85</v>
      </c>
      <c r="H92" s="54">
        <v>200</v>
      </c>
      <c r="I92" s="55">
        <v>36</v>
      </c>
    </row>
    <row r="93" spans="1:9">
      <c r="A93" s="14" t="s">
        <v>20</v>
      </c>
      <c r="B93" s="30" t="s">
        <v>32</v>
      </c>
      <c r="C93" s="53">
        <v>30</v>
      </c>
      <c r="D93" s="54">
        <v>2.2799999999999998</v>
      </c>
      <c r="E93" s="54">
        <v>0.24</v>
      </c>
      <c r="F93" s="54">
        <v>14.76</v>
      </c>
      <c r="G93" s="54">
        <v>70.5</v>
      </c>
      <c r="H93" s="54">
        <v>0</v>
      </c>
      <c r="I93" s="55" t="s">
        <v>20</v>
      </c>
    </row>
    <row r="94" spans="1:9">
      <c r="A94" s="14" t="s">
        <v>20</v>
      </c>
      <c r="B94" s="30" t="s">
        <v>33</v>
      </c>
      <c r="C94" s="53">
        <v>50</v>
      </c>
      <c r="D94" s="54">
        <v>3.3</v>
      </c>
      <c r="E94" s="54">
        <v>0.6</v>
      </c>
      <c r="F94" s="54">
        <v>17</v>
      </c>
      <c r="G94" s="54">
        <v>90.5</v>
      </c>
      <c r="H94" s="54">
        <v>0</v>
      </c>
      <c r="I94" s="55" t="s">
        <v>20</v>
      </c>
    </row>
    <row r="95" spans="1:9">
      <c r="A95" s="14"/>
      <c r="B95" s="30" t="s">
        <v>17</v>
      </c>
      <c r="C95" s="83">
        <f t="shared" ref="C95:H95" si="6">C89+C90+C91+C92+C93+C94</f>
        <v>760</v>
      </c>
      <c r="D95" s="54">
        <f t="shared" si="6"/>
        <v>34.369999999999997</v>
      </c>
      <c r="E95" s="54">
        <f t="shared" si="6"/>
        <v>27.68</v>
      </c>
      <c r="F95" s="54">
        <f t="shared" si="6"/>
        <v>97.690000000000012</v>
      </c>
      <c r="G95" s="54">
        <f t="shared" si="6"/>
        <v>817.3</v>
      </c>
      <c r="H95" s="54">
        <f t="shared" si="6"/>
        <v>213.85</v>
      </c>
      <c r="I95" s="55"/>
    </row>
    <row r="96" spans="1:9">
      <c r="A96" s="14"/>
      <c r="B96" s="148" t="s">
        <v>35</v>
      </c>
      <c r="C96" s="149"/>
      <c r="D96" s="149"/>
      <c r="E96" s="149"/>
      <c r="F96" s="149"/>
      <c r="G96" s="149"/>
      <c r="H96" s="149"/>
      <c r="I96" s="150"/>
    </row>
    <row r="97" spans="1:9" ht="140.4">
      <c r="A97" s="14"/>
      <c r="B97" s="30" t="s">
        <v>82</v>
      </c>
      <c r="C97" s="108" t="s">
        <v>108</v>
      </c>
      <c r="D97" s="79">
        <v>5.6</v>
      </c>
      <c r="E97" s="79">
        <v>4.3</v>
      </c>
      <c r="F97" s="79">
        <v>24.48</v>
      </c>
      <c r="G97" s="79">
        <v>182.3</v>
      </c>
      <c r="H97" s="79">
        <v>0.3</v>
      </c>
      <c r="I97" s="55">
        <v>28</v>
      </c>
    </row>
    <row r="98" spans="1:9" ht="140.4">
      <c r="A98" s="14"/>
      <c r="B98" s="30" t="s">
        <v>38</v>
      </c>
      <c r="C98" s="25" t="s">
        <v>176</v>
      </c>
      <c r="D98" s="54">
        <v>5.8</v>
      </c>
      <c r="E98" s="54">
        <v>5</v>
      </c>
      <c r="F98" s="54">
        <v>8</v>
      </c>
      <c r="G98" s="54">
        <v>106</v>
      </c>
      <c r="H98" s="54">
        <v>1.4</v>
      </c>
      <c r="I98" s="55" t="s">
        <v>40</v>
      </c>
    </row>
    <row r="99" spans="1:9">
      <c r="A99" s="14"/>
      <c r="B99" s="30" t="s">
        <v>34</v>
      </c>
      <c r="C99" s="57">
        <f t="shared" ref="C99:H99" si="7">C97+C98</f>
        <v>270</v>
      </c>
      <c r="D99" s="54">
        <f t="shared" si="7"/>
        <v>11.399999999999999</v>
      </c>
      <c r="E99" s="54">
        <f t="shared" si="7"/>
        <v>9.3000000000000007</v>
      </c>
      <c r="F99" s="54">
        <f t="shared" si="7"/>
        <v>32.480000000000004</v>
      </c>
      <c r="G99" s="54">
        <f t="shared" si="7"/>
        <v>288.3</v>
      </c>
      <c r="H99" s="54">
        <f t="shared" si="7"/>
        <v>1.7</v>
      </c>
      <c r="I99" s="55"/>
    </row>
    <row r="100" spans="1:9">
      <c r="A100" s="6"/>
      <c r="B100" s="148" t="s">
        <v>41</v>
      </c>
      <c r="C100" s="149"/>
      <c r="D100" s="149"/>
      <c r="E100" s="149"/>
      <c r="F100" s="149"/>
      <c r="G100" s="149"/>
      <c r="H100" s="149"/>
      <c r="I100" s="150"/>
    </row>
    <row r="101" spans="1:9">
      <c r="A101" s="14"/>
      <c r="B101" s="30" t="s">
        <v>84</v>
      </c>
      <c r="C101" s="82">
        <v>100</v>
      </c>
      <c r="D101" s="54">
        <v>14.73</v>
      </c>
      <c r="E101" s="54">
        <v>6.86</v>
      </c>
      <c r="F101" s="54">
        <v>47.99</v>
      </c>
      <c r="G101" s="54">
        <v>144.29</v>
      </c>
      <c r="H101" s="54">
        <v>0.41</v>
      </c>
      <c r="I101" s="59">
        <v>44</v>
      </c>
    </row>
    <row r="102" spans="1:9">
      <c r="A102" s="14"/>
      <c r="B102" s="30" t="s">
        <v>85</v>
      </c>
      <c r="C102" s="83">
        <v>150</v>
      </c>
      <c r="D102" s="54">
        <v>2.85</v>
      </c>
      <c r="E102" s="54">
        <v>5.15</v>
      </c>
      <c r="F102" s="54">
        <v>18.739999999999998</v>
      </c>
      <c r="G102" s="54">
        <v>142.5</v>
      </c>
      <c r="H102" s="54">
        <v>10.36</v>
      </c>
      <c r="I102" s="59">
        <v>83</v>
      </c>
    </row>
    <row r="103" spans="1:9">
      <c r="A103" s="27">
        <v>13</v>
      </c>
      <c r="B103" s="58" t="s">
        <v>86</v>
      </c>
      <c r="C103" s="83">
        <v>200</v>
      </c>
      <c r="D103" s="79">
        <v>1.45</v>
      </c>
      <c r="E103" s="79">
        <v>1.25</v>
      </c>
      <c r="F103" s="79">
        <v>9.39</v>
      </c>
      <c r="G103" s="79">
        <v>55</v>
      </c>
      <c r="H103" s="79">
        <v>0.65</v>
      </c>
      <c r="I103" s="80">
        <v>59</v>
      </c>
    </row>
    <row r="104" spans="1:9" ht="280.8">
      <c r="A104" s="14"/>
      <c r="B104" s="30" t="s">
        <v>44</v>
      </c>
      <c r="C104" s="25" t="s">
        <v>57</v>
      </c>
      <c r="D104" s="54">
        <v>1.2</v>
      </c>
      <c r="E104" s="54">
        <v>0.4</v>
      </c>
      <c r="F104" s="54">
        <v>16.8</v>
      </c>
      <c r="G104" s="54">
        <v>76.8</v>
      </c>
      <c r="H104" s="54">
        <v>8</v>
      </c>
      <c r="I104" s="55">
        <v>76</v>
      </c>
    </row>
    <row r="105" spans="1:9">
      <c r="A105" s="14" t="s">
        <v>20</v>
      </c>
      <c r="B105" s="30" t="s">
        <v>32</v>
      </c>
      <c r="C105" s="53">
        <v>25</v>
      </c>
      <c r="D105" s="54">
        <v>1.9</v>
      </c>
      <c r="E105" s="54">
        <v>0.2</v>
      </c>
      <c r="F105" s="54">
        <v>12.3</v>
      </c>
      <c r="G105" s="54">
        <v>58.75</v>
      </c>
      <c r="H105" s="54">
        <v>0</v>
      </c>
      <c r="I105" s="55" t="s">
        <v>20</v>
      </c>
    </row>
    <row r="106" spans="1:9">
      <c r="A106" s="14"/>
      <c r="B106" s="30" t="s">
        <v>17</v>
      </c>
      <c r="C106" s="83">
        <f t="shared" ref="C106:H106" si="8">C101+C102+C103+C104+C105</f>
        <v>555</v>
      </c>
      <c r="D106" s="54">
        <f t="shared" si="8"/>
        <v>22.13</v>
      </c>
      <c r="E106" s="54">
        <f t="shared" si="8"/>
        <v>13.860000000000001</v>
      </c>
      <c r="F106" s="54">
        <f t="shared" si="8"/>
        <v>105.22</v>
      </c>
      <c r="G106" s="54">
        <f t="shared" si="8"/>
        <v>477.34</v>
      </c>
      <c r="H106" s="54">
        <f t="shared" si="8"/>
        <v>19.420000000000002</v>
      </c>
      <c r="I106" s="55"/>
    </row>
    <row r="107" spans="1:9">
      <c r="A107" s="14"/>
      <c r="B107" s="30"/>
      <c r="C107" s="84"/>
      <c r="D107" s="60" t="s">
        <v>7</v>
      </c>
      <c r="E107" s="61" t="s">
        <v>8</v>
      </c>
      <c r="F107" s="61" t="s">
        <v>9</v>
      </c>
      <c r="G107" s="62" t="s">
        <v>46</v>
      </c>
      <c r="H107" s="61" t="s">
        <v>47</v>
      </c>
      <c r="I107" s="55"/>
    </row>
    <row r="108" spans="1:9">
      <c r="A108" s="14"/>
      <c r="B108" s="63" t="s">
        <v>87</v>
      </c>
      <c r="C108" s="84"/>
      <c r="D108" s="54">
        <f>SUM(D84+D87+D95+D106+D99)</f>
        <v>82.049999999999983</v>
      </c>
      <c r="E108" s="54">
        <f>SUM(E84+E87+E95+E106+E99)</f>
        <v>67.239999999999995</v>
      </c>
      <c r="F108" s="54">
        <f>SUM(F84+F87+F95+F106+F99)</f>
        <v>292.16000000000003</v>
      </c>
      <c r="G108" s="54">
        <f>SUM(G84+G87+G95+G106+G99)</f>
        <v>2021.9399999999998</v>
      </c>
      <c r="H108" s="54">
        <f>SUM(H84+H87+H95+H106+H99)</f>
        <v>239.46999999999997</v>
      </c>
      <c r="I108" s="55"/>
    </row>
    <row r="109" spans="1:9">
      <c r="A109" s="14"/>
      <c r="B109" s="63" t="s">
        <v>49</v>
      </c>
      <c r="C109" s="84"/>
      <c r="D109" s="54">
        <v>54</v>
      </c>
      <c r="E109" s="54">
        <v>60</v>
      </c>
      <c r="F109" s="54">
        <v>261</v>
      </c>
      <c r="G109" s="54">
        <v>1800</v>
      </c>
      <c r="H109" s="54">
        <v>50</v>
      </c>
      <c r="I109" s="55"/>
    </row>
    <row r="110" spans="1:9" ht="139.19999999999999">
      <c r="A110" s="33"/>
      <c r="B110" s="64" t="s">
        <v>50</v>
      </c>
      <c r="C110" s="81"/>
      <c r="D110" s="65">
        <f>D108*100/D109</f>
        <v>151.9444444444444</v>
      </c>
      <c r="E110" s="65">
        <f>E108*100/E109</f>
        <v>112.06666666666665</v>
      </c>
      <c r="F110" s="65">
        <f>F108*100/F109</f>
        <v>111.93869731800768</v>
      </c>
      <c r="G110" s="65">
        <f>G108*100/G109</f>
        <v>112.32999999999998</v>
      </c>
      <c r="H110" s="65">
        <f>H108*100/H109</f>
        <v>478.93999999999994</v>
      </c>
      <c r="I110" s="56"/>
    </row>
    <row r="111" spans="1:9">
      <c r="A111" s="35"/>
      <c r="B111" s="71"/>
      <c r="C111" s="71"/>
      <c r="D111" s="71"/>
      <c r="E111" s="69"/>
      <c r="F111" s="69"/>
      <c r="G111" s="69"/>
      <c r="H111" s="69"/>
      <c r="I111" s="70"/>
    </row>
    <row r="112" spans="1:9">
      <c r="A112" s="35"/>
      <c r="B112" s="71" t="s">
        <v>51</v>
      </c>
      <c r="C112" s="71"/>
      <c r="D112" s="71"/>
      <c r="E112" s="69"/>
      <c r="F112" s="69"/>
      <c r="G112" s="69"/>
      <c r="H112" s="69"/>
      <c r="I112" s="70"/>
    </row>
    <row r="113" spans="1:9">
      <c r="A113" s="35"/>
      <c r="B113" s="71" t="s">
        <v>181</v>
      </c>
      <c r="C113" s="72"/>
      <c r="D113" s="71"/>
      <c r="E113" s="71"/>
      <c r="F113" s="71"/>
      <c r="G113" s="71"/>
      <c r="H113" s="71"/>
      <c r="I113" s="70"/>
    </row>
    <row r="114" spans="1:9">
      <c r="A114" s="152" t="s">
        <v>0</v>
      </c>
      <c r="B114" s="145" t="s">
        <v>1</v>
      </c>
      <c r="C114" s="176" t="s">
        <v>2</v>
      </c>
      <c r="D114" s="145" t="s">
        <v>3</v>
      </c>
      <c r="E114" s="146"/>
      <c r="F114" s="147"/>
      <c r="G114" s="145" t="s">
        <v>4</v>
      </c>
      <c r="H114" s="145" t="s">
        <v>5</v>
      </c>
      <c r="I114" s="141" t="s">
        <v>6</v>
      </c>
    </row>
    <row r="115" spans="1:9">
      <c r="A115" s="153"/>
      <c r="B115" s="151"/>
      <c r="C115" s="175"/>
      <c r="D115" s="60" t="s">
        <v>7</v>
      </c>
      <c r="E115" s="61" t="s">
        <v>8</v>
      </c>
      <c r="F115" s="61" t="s">
        <v>9</v>
      </c>
      <c r="G115" s="151"/>
      <c r="H115" s="151"/>
      <c r="I115" s="142"/>
    </row>
    <row r="116" spans="1:9">
      <c r="A116" s="39"/>
      <c r="B116" s="93" t="s">
        <v>88</v>
      </c>
      <c r="C116" s="105"/>
      <c r="D116" s="105"/>
      <c r="E116" s="105"/>
      <c r="F116" s="105"/>
      <c r="G116" s="105"/>
      <c r="H116" s="105"/>
      <c r="I116" s="106"/>
    </row>
    <row r="117" spans="1:9">
      <c r="A117" s="39"/>
      <c r="B117" s="145" t="s">
        <v>11</v>
      </c>
      <c r="C117" s="146"/>
      <c r="D117" s="146"/>
      <c r="E117" s="146"/>
      <c r="F117" s="146"/>
      <c r="G117" s="146"/>
      <c r="H117" s="146"/>
      <c r="I117" s="147"/>
    </row>
    <row r="118" spans="1:9" ht="210.6">
      <c r="A118" s="14"/>
      <c r="B118" s="107" t="s">
        <v>89</v>
      </c>
      <c r="C118" s="83">
        <v>200</v>
      </c>
      <c r="D118" s="54">
        <v>6.63</v>
      </c>
      <c r="E118" s="54">
        <v>7.97</v>
      </c>
      <c r="F118" s="54">
        <v>21.71</v>
      </c>
      <c r="G118" s="65">
        <v>185.33</v>
      </c>
      <c r="H118" s="65">
        <v>1.96</v>
      </c>
      <c r="I118" s="55">
        <v>10.32</v>
      </c>
    </row>
    <row r="119" spans="1:9">
      <c r="A119" s="14">
        <v>15</v>
      </c>
      <c r="B119" s="30" t="s">
        <v>73</v>
      </c>
      <c r="C119" s="83">
        <v>200</v>
      </c>
      <c r="D119" s="79">
        <v>2.66</v>
      </c>
      <c r="E119" s="79">
        <v>2.15</v>
      </c>
      <c r="F119" s="79">
        <v>10.93</v>
      </c>
      <c r="G119" s="79">
        <v>72</v>
      </c>
      <c r="H119" s="79">
        <v>1.01</v>
      </c>
      <c r="I119" s="55">
        <v>2</v>
      </c>
    </row>
    <row r="120" spans="1:9">
      <c r="A120" s="14">
        <v>3</v>
      </c>
      <c r="B120" s="30" t="s">
        <v>90</v>
      </c>
      <c r="C120" s="108" t="s">
        <v>186</v>
      </c>
      <c r="D120" s="54">
        <v>1.95</v>
      </c>
      <c r="E120" s="54">
        <v>4.49</v>
      </c>
      <c r="F120" s="54">
        <v>12.38</v>
      </c>
      <c r="G120" s="54">
        <v>98</v>
      </c>
      <c r="H120" s="54">
        <v>0</v>
      </c>
      <c r="I120" s="55">
        <v>16</v>
      </c>
    </row>
    <row r="121" spans="1:9">
      <c r="A121" s="14"/>
      <c r="B121" s="30" t="s">
        <v>17</v>
      </c>
      <c r="C121" s="25" t="s">
        <v>187</v>
      </c>
      <c r="D121" s="54">
        <f>SUM(D118:D120)</f>
        <v>11.239999999999998</v>
      </c>
      <c r="E121" s="54">
        <f>SUM(E118:E120)</f>
        <v>14.61</v>
      </c>
      <c r="F121" s="54">
        <f>SUM(F118:F120)</f>
        <v>45.02</v>
      </c>
      <c r="G121" s="54">
        <f>SUM(G118:G120)</f>
        <v>355.33000000000004</v>
      </c>
      <c r="H121" s="54">
        <f>SUM(H118:H120)</f>
        <v>2.9699999999999998</v>
      </c>
      <c r="I121" s="55"/>
    </row>
    <row r="122" spans="1:9">
      <c r="A122" s="39"/>
      <c r="B122" s="145" t="s">
        <v>19</v>
      </c>
      <c r="C122" s="146"/>
      <c r="D122" s="146"/>
      <c r="E122" s="146"/>
      <c r="F122" s="146"/>
      <c r="G122" s="146"/>
      <c r="H122" s="146"/>
      <c r="I122" s="147"/>
    </row>
    <row r="123" spans="1:9">
      <c r="A123" s="14" t="s">
        <v>20</v>
      </c>
      <c r="B123" s="30" t="s">
        <v>21</v>
      </c>
      <c r="C123" s="77" t="s">
        <v>13</v>
      </c>
      <c r="D123" s="54">
        <v>0.3</v>
      </c>
      <c r="E123" s="54">
        <v>0.15</v>
      </c>
      <c r="F123" s="54">
        <v>15.15</v>
      </c>
      <c r="G123" s="54">
        <v>69</v>
      </c>
      <c r="H123" s="54">
        <v>3</v>
      </c>
      <c r="I123" s="55" t="s">
        <v>20</v>
      </c>
    </row>
    <row r="124" spans="1:9">
      <c r="A124" s="14"/>
      <c r="B124" s="30" t="s">
        <v>17</v>
      </c>
      <c r="C124" s="53" t="str">
        <f t="shared" ref="C124:H124" si="9">C123</f>
        <v>150</v>
      </c>
      <c r="D124" s="54">
        <f t="shared" si="9"/>
        <v>0.3</v>
      </c>
      <c r="E124" s="54">
        <f t="shared" si="9"/>
        <v>0.15</v>
      </c>
      <c r="F124" s="54">
        <f t="shared" si="9"/>
        <v>15.15</v>
      </c>
      <c r="G124" s="54">
        <f t="shared" si="9"/>
        <v>69</v>
      </c>
      <c r="H124" s="54">
        <f t="shared" si="9"/>
        <v>3</v>
      </c>
      <c r="I124" s="55"/>
    </row>
    <row r="125" spans="1:9">
      <c r="A125" s="33"/>
      <c r="B125" s="145" t="s">
        <v>24</v>
      </c>
      <c r="C125" s="146"/>
      <c r="D125" s="146"/>
      <c r="E125" s="146"/>
      <c r="F125" s="146"/>
      <c r="G125" s="146"/>
      <c r="H125" s="146"/>
      <c r="I125" s="147"/>
    </row>
    <row r="126" spans="1:9" ht="140.4">
      <c r="A126" s="14"/>
      <c r="B126" s="30" t="s">
        <v>93</v>
      </c>
      <c r="C126" s="108" t="s">
        <v>69</v>
      </c>
      <c r="D126" s="54">
        <v>2.15</v>
      </c>
      <c r="E126" s="54">
        <v>6.9</v>
      </c>
      <c r="F126" s="54">
        <v>0.64</v>
      </c>
      <c r="G126" s="54">
        <v>93.33</v>
      </c>
      <c r="H126" s="54">
        <v>1.47</v>
      </c>
      <c r="I126" s="55">
        <v>56</v>
      </c>
    </row>
    <row r="127" spans="1:9" ht="140.4">
      <c r="A127" s="14"/>
      <c r="B127" s="30" t="s">
        <v>94</v>
      </c>
      <c r="C127" s="84" t="s">
        <v>188</v>
      </c>
      <c r="D127" s="54">
        <v>3.33</v>
      </c>
      <c r="E127" s="54">
        <v>4.6399999999999997</v>
      </c>
      <c r="F127" s="54">
        <v>15.7</v>
      </c>
      <c r="G127" s="54">
        <v>115.15</v>
      </c>
      <c r="H127" s="54">
        <v>6.3</v>
      </c>
      <c r="I127" s="55">
        <v>84</v>
      </c>
    </row>
    <row r="128" spans="1:9" ht="140.4">
      <c r="A128" s="14"/>
      <c r="B128" s="30" t="s">
        <v>96</v>
      </c>
      <c r="C128" s="83">
        <v>70</v>
      </c>
      <c r="D128" s="54">
        <v>9.84</v>
      </c>
      <c r="E128" s="54">
        <v>8.02</v>
      </c>
      <c r="F128" s="54">
        <v>7.16</v>
      </c>
      <c r="G128" s="54">
        <v>139.13</v>
      </c>
      <c r="H128" s="54">
        <v>0.81</v>
      </c>
      <c r="I128" s="55">
        <v>6</v>
      </c>
    </row>
    <row r="129" spans="1:9" ht="140.4">
      <c r="A129" s="14"/>
      <c r="B129" s="30" t="s">
        <v>97</v>
      </c>
      <c r="C129" s="83">
        <v>150</v>
      </c>
      <c r="D129" s="54">
        <v>5.21</v>
      </c>
      <c r="E129" s="54">
        <v>4.59</v>
      </c>
      <c r="F129" s="54">
        <v>32.03</v>
      </c>
      <c r="G129" s="54">
        <v>186</v>
      </c>
      <c r="H129" s="54">
        <v>0</v>
      </c>
      <c r="I129" s="55">
        <v>30</v>
      </c>
    </row>
    <row r="130" spans="1:9">
      <c r="A130" s="14">
        <v>54</v>
      </c>
      <c r="B130" s="30" t="s">
        <v>65</v>
      </c>
      <c r="C130" s="83">
        <v>200</v>
      </c>
      <c r="D130" s="54">
        <v>0.55000000000000004</v>
      </c>
      <c r="E130" s="54">
        <v>0</v>
      </c>
      <c r="F130" s="54">
        <v>18.14</v>
      </c>
      <c r="G130" s="54">
        <v>78</v>
      </c>
      <c r="H130" s="54">
        <v>0.5</v>
      </c>
      <c r="I130" s="55">
        <v>9</v>
      </c>
    </row>
    <row r="131" spans="1:9">
      <c r="A131" s="14" t="s">
        <v>20</v>
      </c>
      <c r="B131" s="30" t="s">
        <v>32</v>
      </c>
      <c r="C131" s="53">
        <v>30</v>
      </c>
      <c r="D131" s="54">
        <v>2.2799999999999998</v>
      </c>
      <c r="E131" s="54">
        <v>0.24</v>
      </c>
      <c r="F131" s="54">
        <v>14.76</v>
      </c>
      <c r="G131" s="54">
        <v>70.5</v>
      </c>
      <c r="H131" s="54">
        <v>0</v>
      </c>
      <c r="I131" s="55" t="s">
        <v>20</v>
      </c>
    </row>
    <row r="132" spans="1:9">
      <c r="A132" s="14" t="s">
        <v>20</v>
      </c>
      <c r="B132" s="30" t="s">
        <v>33</v>
      </c>
      <c r="C132" s="53">
        <v>50</v>
      </c>
      <c r="D132" s="54">
        <v>3.3</v>
      </c>
      <c r="E132" s="54">
        <v>0.6</v>
      </c>
      <c r="F132" s="54">
        <v>17</v>
      </c>
      <c r="G132" s="54">
        <v>90.5</v>
      </c>
      <c r="H132" s="54">
        <v>0</v>
      </c>
      <c r="I132" s="55" t="s">
        <v>20</v>
      </c>
    </row>
    <row r="133" spans="1:9">
      <c r="A133" s="14"/>
      <c r="B133" s="30" t="s">
        <v>17</v>
      </c>
      <c r="C133" s="83">
        <v>774</v>
      </c>
      <c r="D133" s="54">
        <f>D126+D127+D128+D129+D130+D131+D132</f>
        <v>26.660000000000004</v>
      </c>
      <c r="E133" s="54">
        <f>E126+E127+E128+E129+E130+E131+E132</f>
        <v>24.99</v>
      </c>
      <c r="F133" s="54">
        <f>F126+F127+F128+F129+F130+F131+F132</f>
        <v>105.43</v>
      </c>
      <c r="G133" s="54">
        <f>G126+G127+G128+G129+G130+G131+G132</f>
        <v>772.61</v>
      </c>
      <c r="H133" s="54">
        <f>H126+H127+H128+H129+H130+H131+H132</f>
        <v>9.08</v>
      </c>
      <c r="I133" s="55"/>
    </row>
    <row r="134" spans="1:9">
      <c r="A134" s="14"/>
      <c r="B134" s="148" t="s">
        <v>35</v>
      </c>
      <c r="C134" s="149"/>
      <c r="D134" s="149"/>
      <c r="E134" s="149"/>
      <c r="F134" s="149"/>
      <c r="G134" s="149"/>
      <c r="H134" s="149"/>
      <c r="I134" s="150"/>
    </row>
    <row r="135" spans="1:9" ht="140.4">
      <c r="A135" s="14"/>
      <c r="B135" s="58" t="s">
        <v>98</v>
      </c>
      <c r="C135" s="84" t="s">
        <v>189</v>
      </c>
      <c r="D135" s="79">
        <v>8.02</v>
      </c>
      <c r="E135" s="79">
        <v>10.55</v>
      </c>
      <c r="F135" s="79">
        <v>41.59</v>
      </c>
      <c r="G135" s="79">
        <v>275</v>
      </c>
      <c r="H135" s="79">
        <v>1.34</v>
      </c>
      <c r="I135" s="55">
        <v>105</v>
      </c>
    </row>
    <row r="136" spans="1:9" ht="140.4">
      <c r="A136" s="14"/>
      <c r="B136" s="30" t="s">
        <v>38</v>
      </c>
      <c r="C136" s="25" t="s">
        <v>176</v>
      </c>
      <c r="D136" s="54">
        <v>5.8</v>
      </c>
      <c r="E136" s="54">
        <v>5</v>
      </c>
      <c r="F136" s="54">
        <v>8</v>
      </c>
      <c r="G136" s="54">
        <v>106</v>
      </c>
      <c r="H136" s="54">
        <v>1.4</v>
      </c>
      <c r="I136" s="55" t="s">
        <v>40</v>
      </c>
    </row>
    <row r="137" spans="1:9">
      <c r="A137" s="14"/>
      <c r="B137" s="30" t="s">
        <v>34</v>
      </c>
      <c r="C137" s="57">
        <f t="shared" ref="C137:H137" si="10">C135+C136</f>
        <v>305</v>
      </c>
      <c r="D137" s="54">
        <f t="shared" si="10"/>
        <v>13.82</v>
      </c>
      <c r="E137" s="54">
        <f t="shared" si="10"/>
        <v>15.55</v>
      </c>
      <c r="F137" s="54">
        <f t="shared" si="10"/>
        <v>49.59</v>
      </c>
      <c r="G137" s="54">
        <f t="shared" si="10"/>
        <v>381</v>
      </c>
      <c r="H137" s="54">
        <f t="shared" si="10"/>
        <v>2.74</v>
      </c>
      <c r="I137" s="55"/>
    </row>
    <row r="138" spans="1:9">
      <c r="A138" s="33"/>
      <c r="B138" s="148" t="s">
        <v>41</v>
      </c>
      <c r="C138" s="149"/>
      <c r="D138" s="149"/>
      <c r="E138" s="149"/>
      <c r="F138" s="149"/>
      <c r="G138" s="149"/>
      <c r="H138" s="149"/>
      <c r="I138" s="150"/>
    </row>
    <row r="139" spans="1:9">
      <c r="A139" s="27"/>
      <c r="B139" s="30" t="s">
        <v>85</v>
      </c>
      <c r="C139" s="83">
        <v>150</v>
      </c>
      <c r="D139" s="54">
        <v>2.85</v>
      </c>
      <c r="E139" s="54">
        <v>5.15</v>
      </c>
      <c r="F139" s="54">
        <v>18.739999999999998</v>
      </c>
      <c r="G139" s="54">
        <v>142.5</v>
      </c>
      <c r="H139" s="54">
        <v>10.36</v>
      </c>
      <c r="I139" s="59">
        <v>83</v>
      </c>
    </row>
    <row r="140" spans="1:9" ht="140.4">
      <c r="A140" s="27"/>
      <c r="B140" s="30" t="s">
        <v>100</v>
      </c>
      <c r="C140" s="25" t="s">
        <v>22</v>
      </c>
      <c r="D140" s="54">
        <v>11.4</v>
      </c>
      <c r="E140" s="54">
        <v>4.3099999999999996</v>
      </c>
      <c r="F140" s="54">
        <v>1.87</v>
      </c>
      <c r="G140" s="54">
        <v>92</v>
      </c>
      <c r="H140" s="54">
        <v>0.91</v>
      </c>
      <c r="I140" s="59">
        <v>58</v>
      </c>
    </row>
    <row r="141" spans="1:9">
      <c r="A141" s="47">
        <v>59</v>
      </c>
      <c r="B141" s="58" t="s">
        <v>14</v>
      </c>
      <c r="C141" s="83">
        <v>200</v>
      </c>
      <c r="D141" s="54">
        <v>0</v>
      </c>
      <c r="E141" s="54">
        <v>0</v>
      </c>
      <c r="F141" s="54">
        <v>6.99</v>
      </c>
      <c r="G141" s="54">
        <v>28</v>
      </c>
      <c r="H141" s="54">
        <v>0</v>
      </c>
      <c r="I141" s="59">
        <v>13</v>
      </c>
    </row>
    <row r="142" spans="1:9" ht="280.8">
      <c r="A142" s="52"/>
      <c r="B142" s="30" t="s">
        <v>44</v>
      </c>
      <c r="C142" s="25" t="s">
        <v>57</v>
      </c>
      <c r="D142" s="54">
        <v>1.2</v>
      </c>
      <c r="E142" s="54">
        <v>0.4</v>
      </c>
      <c r="F142" s="54">
        <v>16.8</v>
      </c>
      <c r="G142" s="54">
        <v>76.8</v>
      </c>
      <c r="H142" s="54">
        <v>8</v>
      </c>
      <c r="I142" s="55">
        <v>76</v>
      </c>
    </row>
    <row r="143" spans="1:9">
      <c r="A143" s="14" t="s">
        <v>20</v>
      </c>
      <c r="B143" s="30" t="s">
        <v>32</v>
      </c>
      <c r="C143" s="53">
        <v>25</v>
      </c>
      <c r="D143" s="54">
        <v>1.9</v>
      </c>
      <c r="E143" s="54">
        <v>0.2</v>
      </c>
      <c r="F143" s="54">
        <v>12.3</v>
      </c>
      <c r="G143" s="54">
        <v>58.75</v>
      </c>
      <c r="H143" s="54">
        <v>0</v>
      </c>
      <c r="I143" s="55" t="s">
        <v>20</v>
      </c>
    </row>
    <row r="144" spans="1:9">
      <c r="A144" s="14"/>
      <c r="B144" s="30" t="s">
        <v>17</v>
      </c>
      <c r="C144" s="83">
        <f t="shared" ref="C144:H144" si="11">C139+C140+C141+C142+C143</f>
        <v>555</v>
      </c>
      <c r="D144" s="54">
        <f t="shared" si="11"/>
        <v>17.349999999999998</v>
      </c>
      <c r="E144" s="54">
        <f t="shared" si="11"/>
        <v>10.06</v>
      </c>
      <c r="F144" s="54">
        <f t="shared" si="11"/>
        <v>56.7</v>
      </c>
      <c r="G144" s="54">
        <f t="shared" si="11"/>
        <v>398.05</v>
      </c>
      <c r="H144" s="54">
        <f t="shared" si="11"/>
        <v>19.27</v>
      </c>
      <c r="I144" s="55"/>
    </row>
    <row r="145" spans="1:9">
      <c r="A145" s="14"/>
      <c r="B145" s="30"/>
      <c r="C145" s="84"/>
      <c r="D145" s="60" t="s">
        <v>7</v>
      </c>
      <c r="E145" s="61" t="s">
        <v>8</v>
      </c>
      <c r="F145" s="61" t="s">
        <v>9</v>
      </c>
      <c r="G145" s="62" t="s">
        <v>46</v>
      </c>
      <c r="H145" s="61" t="s">
        <v>47</v>
      </c>
      <c r="I145" s="55"/>
    </row>
    <row r="146" spans="1:9">
      <c r="A146" s="14"/>
      <c r="B146" s="63" t="s">
        <v>101</v>
      </c>
      <c r="C146" s="84"/>
      <c r="D146" s="54">
        <f>SUM(D121+D124+D133++D144+D137)</f>
        <v>69.37</v>
      </c>
      <c r="E146" s="54">
        <f>SUM(E121+E124+E133++E144+E137)</f>
        <v>65.36</v>
      </c>
      <c r="F146" s="54">
        <f>SUM(F121+F124+F133++F144+F137)</f>
        <v>271.89</v>
      </c>
      <c r="G146" s="54">
        <f>SUM(G121+G124+G133++G144+G137)</f>
        <v>1975.99</v>
      </c>
      <c r="H146" s="54">
        <f>SUM(H121+H124+H133++H144+H137)</f>
        <v>37.06</v>
      </c>
      <c r="I146" s="55"/>
    </row>
    <row r="147" spans="1:9" s="48" customFormat="1">
      <c r="A147" s="14"/>
      <c r="B147" s="63" t="s">
        <v>49</v>
      </c>
      <c r="C147" s="84"/>
      <c r="D147" s="54">
        <v>54</v>
      </c>
      <c r="E147" s="54">
        <v>60</v>
      </c>
      <c r="F147" s="54">
        <v>261</v>
      </c>
      <c r="G147" s="54">
        <v>1800</v>
      </c>
      <c r="H147" s="54">
        <v>50</v>
      </c>
      <c r="I147" s="55"/>
    </row>
    <row r="148" spans="1:9" ht="139.19999999999999">
      <c r="A148" s="33"/>
      <c r="B148" s="64" t="s">
        <v>50</v>
      </c>
      <c r="C148" s="81"/>
      <c r="D148" s="65">
        <f>D146*100/D147</f>
        <v>128.46296296296296</v>
      </c>
      <c r="E148" s="65">
        <f>E146*100/E147</f>
        <v>108.93333333333334</v>
      </c>
      <c r="F148" s="65">
        <f>F146*100/F147</f>
        <v>104.17241379310344</v>
      </c>
      <c r="G148" s="65">
        <f>G146*100/G147</f>
        <v>109.77722222222222</v>
      </c>
      <c r="H148" s="65">
        <f>H146*100/H147</f>
        <v>74.12</v>
      </c>
      <c r="I148" s="56"/>
    </row>
    <row r="149" spans="1:9">
      <c r="A149" s="35"/>
      <c r="B149" s="67"/>
      <c r="C149" s="68"/>
      <c r="D149" s="69"/>
      <c r="E149" s="69"/>
      <c r="F149" s="69"/>
      <c r="G149" s="69"/>
      <c r="H149" s="69"/>
      <c r="I149" s="70"/>
    </row>
    <row r="150" spans="1:9">
      <c r="A150" s="35"/>
      <c r="B150" s="71" t="s">
        <v>51</v>
      </c>
      <c r="C150" s="71"/>
      <c r="D150" s="71"/>
      <c r="E150" s="69"/>
      <c r="F150" s="69"/>
      <c r="G150" s="69"/>
      <c r="H150" s="69"/>
      <c r="I150" s="70"/>
    </row>
    <row r="151" spans="1:9">
      <c r="A151" s="35"/>
      <c r="B151" s="71" t="s">
        <v>181</v>
      </c>
      <c r="C151" s="72"/>
      <c r="D151" s="71"/>
      <c r="E151" s="71"/>
      <c r="F151" s="71"/>
      <c r="G151" s="71"/>
      <c r="H151" s="71"/>
      <c r="I151" s="70"/>
    </row>
    <row r="152" spans="1:9">
      <c r="A152" s="152" t="s">
        <v>0</v>
      </c>
      <c r="B152" s="145" t="s">
        <v>1</v>
      </c>
      <c r="C152" s="176" t="s">
        <v>2</v>
      </c>
      <c r="D152" s="145" t="s">
        <v>3</v>
      </c>
      <c r="E152" s="146"/>
      <c r="F152" s="147"/>
      <c r="G152" s="145" t="s">
        <v>4</v>
      </c>
      <c r="H152" s="145" t="s">
        <v>5</v>
      </c>
      <c r="I152" s="148" t="s">
        <v>6</v>
      </c>
    </row>
    <row r="153" spans="1:9">
      <c r="A153" s="153"/>
      <c r="B153" s="151"/>
      <c r="C153" s="175"/>
      <c r="D153" s="60" t="s">
        <v>7</v>
      </c>
      <c r="E153" s="61" t="s">
        <v>8</v>
      </c>
      <c r="F153" s="61" t="s">
        <v>9</v>
      </c>
      <c r="G153" s="151"/>
      <c r="H153" s="151"/>
      <c r="I153" s="177"/>
    </row>
    <row r="154" spans="1:9">
      <c r="A154" s="39"/>
      <c r="B154" s="93" t="s">
        <v>102</v>
      </c>
      <c r="C154" s="105"/>
      <c r="D154" s="105"/>
      <c r="E154" s="105"/>
      <c r="F154" s="105"/>
      <c r="G154" s="105"/>
      <c r="H154" s="105"/>
      <c r="I154" s="106"/>
    </row>
    <row r="155" spans="1:9">
      <c r="A155" s="39"/>
      <c r="B155" s="145" t="s">
        <v>11</v>
      </c>
      <c r="C155" s="146"/>
      <c r="D155" s="146"/>
      <c r="E155" s="146"/>
      <c r="F155" s="146"/>
      <c r="G155" s="146"/>
      <c r="H155" s="146"/>
      <c r="I155" s="147"/>
    </row>
    <row r="156" spans="1:9" ht="140.4">
      <c r="A156" s="14"/>
      <c r="B156" s="30" t="s">
        <v>97</v>
      </c>
      <c r="C156" s="83">
        <v>150</v>
      </c>
      <c r="D156" s="54">
        <v>5.21</v>
      </c>
      <c r="E156" s="54">
        <v>4.59</v>
      </c>
      <c r="F156" s="54">
        <v>32.03</v>
      </c>
      <c r="G156" s="54">
        <v>186</v>
      </c>
      <c r="H156" s="54">
        <v>0</v>
      </c>
      <c r="I156" s="55">
        <v>30</v>
      </c>
    </row>
    <row r="157" spans="1:9">
      <c r="A157" s="14">
        <v>2</v>
      </c>
      <c r="B157" s="30" t="s">
        <v>73</v>
      </c>
      <c r="C157" s="83">
        <v>200</v>
      </c>
      <c r="D157" s="79">
        <v>2.66</v>
      </c>
      <c r="E157" s="79">
        <v>2.15</v>
      </c>
      <c r="F157" s="79">
        <v>10.93</v>
      </c>
      <c r="G157" s="79">
        <v>72</v>
      </c>
      <c r="H157" s="79">
        <v>1.01</v>
      </c>
      <c r="I157" s="55">
        <v>2</v>
      </c>
    </row>
    <row r="158" spans="1:9">
      <c r="A158" s="14">
        <v>16</v>
      </c>
      <c r="B158" s="30" t="s">
        <v>90</v>
      </c>
      <c r="C158" s="108" t="s">
        <v>186</v>
      </c>
      <c r="D158" s="54">
        <v>1.95</v>
      </c>
      <c r="E158" s="54">
        <v>4.49</v>
      </c>
      <c r="F158" s="54">
        <v>12.38</v>
      </c>
      <c r="G158" s="54">
        <v>98</v>
      </c>
      <c r="H158" s="54">
        <v>0</v>
      </c>
      <c r="I158" s="55">
        <v>16</v>
      </c>
    </row>
    <row r="159" spans="1:9">
      <c r="A159" s="14"/>
      <c r="B159" s="30" t="s">
        <v>17</v>
      </c>
      <c r="C159" s="53">
        <v>381</v>
      </c>
      <c r="D159" s="54">
        <f>SUM(D156:D158)</f>
        <v>9.82</v>
      </c>
      <c r="E159" s="54">
        <f>SUM(E156:E158)</f>
        <v>11.23</v>
      </c>
      <c r="F159" s="54">
        <f>SUM(F156:F158)</f>
        <v>55.34</v>
      </c>
      <c r="G159" s="54">
        <f>SUM(G156:G158)</f>
        <v>356</v>
      </c>
      <c r="H159" s="54">
        <f>SUM(H156:H158)</f>
        <v>1.01</v>
      </c>
      <c r="I159" s="55"/>
    </row>
    <row r="160" spans="1:9">
      <c r="A160" s="39"/>
      <c r="B160" s="145" t="s">
        <v>19</v>
      </c>
      <c r="C160" s="146"/>
      <c r="D160" s="146"/>
      <c r="E160" s="146"/>
      <c r="F160" s="146"/>
      <c r="G160" s="146"/>
      <c r="H160" s="146"/>
      <c r="I160" s="147"/>
    </row>
    <row r="161" spans="1:9">
      <c r="A161" s="14" t="s">
        <v>20</v>
      </c>
      <c r="B161" s="30" t="s">
        <v>21</v>
      </c>
      <c r="C161" s="77" t="s">
        <v>13</v>
      </c>
      <c r="D161" s="54">
        <v>0.3</v>
      </c>
      <c r="E161" s="54">
        <v>0.15</v>
      </c>
      <c r="F161" s="54">
        <v>15.15</v>
      </c>
      <c r="G161" s="54">
        <v>69</v>
      </c>
      <c r="H161" s="54">
        <v>3</v>
      </c>
      <c r="I161" s="55" t="s">
        <v>20</v>
      </c>
    </row>
    <row r="162" spans="1:9">
      <c r="A162" s="14"/>
      <c r="B162" s="30" t="s">
        <v>17</v>
      </c>
      <c r="C162" s="53" t="str">
        <f t="shared" ref="C162:H162" si="12">C161</f>
        <v>150</v>
      </c>
      <c r="D162" s="54">
        <f t="shared" si="12"/>
        <v>0.3</v>
      </c>
      <c r="E162" s="54">
        <f t="shared" si="12"/>
        <v>0.15</v>
      </c>
      <c r="F162" s="54">
        <f t="shared" si="12"/>
        <v>15.15</v>
      </c>
      <c r="G162" s="54">
        <f t="shared" si="12"/>
        <v>69</v>
      </c>
      <c r="H162" s="54">
        <f t="shared" si="12"/>
        <v>3</v>
      </c>
      <c r="I162" s="55"/>
    </row>
    <row r="163" spans="1:9">
      <c r="A163" s="33"/>
      <c r="B163" s="145" t="s">
        <v>24</v>
      </c>
      <c r="C163" s="146"/>
      <c r="D163" s="146"/>
      <c r="E163" s="146"/>
      <c r="F163" s="146"/>
      <c r="G163" s="146"/>
      <c r="H163" s="146"/>
      <c r="I163" s="147"/>
    </row>
    <row r="164" spans="1:9" ht="140.4">
      <c r="A164" s="27">
        <v>66</v>
      </c>
      <c r="B164" s="30" t="s">
        <v>77</v>
      </c>
      <c r="C164" s="77" t="s">
        <v>69</v>
      </c>
      <c r="D164" s="54">
        <v>1.2</v>
      </c>
      <c r="E164" s="54">
        <v>4.58</v>
      </c>
      <c r="F164" s="54">
        <v>3.83</v>
      </c>
      <c r="G164" s="54">
        <v>61.5</v>
      </c>
      <c r="H164" s="54">
        <v>4.13</v>
      </c>
      <c r="I164" s="59">
        <v>66</v>
      </c>
    </row>
    <row r="165" spans="1:9" ht="210.6">
      <c r="A165" s="14">
        <v>52</v>
      </c>
      <c r="B165" s="30" t="s">
        <v>104</v>
      </c>
      <c r="C165" s="84" t="s">
        <v>188</v>
      </c>
      <c r="D165" s="54">
        <v>2.81</v>
      </c>
      <c r="E165" s="54">
        <v>4.08</v>
      </c>
      <c r="F165" s="54">
        <v>7.82</v>
      </c>
      <c r="G165" s="54">
        <v>87.69</v>
      </c>
      <c r="H165" s="54">
        <v>7.8</v>
      </c>
      <c r="I165" s="55">
        <v>5</v>
      </c>
    </row>
    <row r="166" spans="1:9">
      <c r="A166" s="14"/>
      <c r="B166" s="30" t="s">
        <v>105</v>
      </c>
      <c r="C166" s="108" t="s">
        <v>108</v>
      </c>
      <c r="D166" s="54">
        <v>11.06</v>
      </c>
      <c r="E166" s="54">
        <v>8.8699999999999992</v>
      </c>
      <c r="F166" s="54">
        <v>2.08</v>
      </c>
      <c r="G166" s="54">
        <v>143.5</v>
      </c>
      <c r="H166" s="54">
        <v>0.08</v>
      </c>
      <c r="I166" s="55">
        <v>81</v>
      </c>
    </row>
    <row r="167" spans="1:9">
      <c r="A167" s="14"/>
      <c r="B167" s="30" t="s">
        <v>64</v>
      </c>
      <c r="C167" s="53">
        <v>185</v>
      </c>
      <c r="D167" s="54">
        <v>10.53</v>
      </c>
      <c r="E167" s="54">
        <v>8.15</v>
      </c>
      <c r="F167" s="54">
        <v>47.64</v>
      </c>
      <c r="G167" s="54">
        <v>305</v>
      </c>
      <c r="H167" s="54">
        <v>0</v>
      </c>
      <c r="I167" s="59">
        <v>65</v>
      </c>
    </row>
    <row r="168" spans="1:9">
      <c r="A168" s="14">
        <v>20</v>
      </c>
      <c r="B168" s="30" t="s">
        <v>65</v>
      </c>
      <c r="C168" s="83">
        <v>200</v>
      </c>
      <c r="D168" s="54">
        <v>0.55000000000000004</v>
      </c>
      <c r="E168" s="54">
        <v>0</v>
      </c>
      <c r="F168" s="54">
        <v>18.14</v>
      </c>
      <c r="G168" s="54">
        <v>78</v>
      </c>
      <c r="H168" s="54">
        <v>0.5</v>
      </c>
      <c r="I168" s="55">
        <v>9</v>
      </c>
    </row>
    <row r="169" spans="1:9">
      <c r="A169" s="14" t="s">
        <v>20</v>
      </c>
      <c r="B169" s="30" t="s">
        <v>32</v>
      </c>
      <c r="C169" s="53">
        <v>30</v>
      </c>
      <c r="D169" s="54">
        <v>2.2799999999999998</v>
      </c>
      <c r="E169" s="54">
        <v>0.24</v>
      </c>
      <c r="F169" s="54">
        <v>14.76</v>
      </c>
      <c r="G169" s="54">
        <v>70.5</v>
      </c>
      <c r="H169" s="54">
        <v>0</v>
      </c>
      <c r="I169" s="55" t="s">
        <v>20</v>
      </c>
    </row>
    <row r="170" spans="1:9">
      <c r="A170" s="14" t="s">
        <v>20</v>
      </c>
      <c r="B170" s="30" t="s">
        <v>33</v>
      </c>
      <c r="C170" s="53">
        <v>50</v>
      </c>
      <c r="D170" s="54">
        <v>3.3</v>
      </c>
      <c r="E170" s="54">
        <v>0.6</v>
      </c>
      <c r="F170" s="54">
        <v>17</v>
      </c>
      <c r="G170" s="54">
        <v>90.5</v>
      </c>
      <c r="H170" s="54">
        <v>0</v>
      </c>
      <c r="I170" s="55" t="s">
        <v>20</v>
      </c>
    </row>
    <row r="171" spans="1:9">
      <c r="A171" s="14"/>
      <c r="B171" s="30" t="s">
        <v>34</v>
      </c>
      <c r="C171" s="84" t="s">
        <v>190</v>
      </c>
      <c r="D171" s="54">
        <f>SUM(D164:D170)</f>
        <v>31.730000000000004</v>
      </c>
      <c r="E171" s="54">
        <f>SUM(E164:E170)</f>
        <v>26.52</v>
      </c>
      <c r="F171" s="54">
        <f>SUM(F164:F170)</f>
        <v>111.27000000000001</v>
      </c>
      <c r="G171" s="54">
        <f>SUM(G164:G170)</f>
        <v>836.69</v>
      </c>
      <c r="H171" s="54">
        <f>SUM(H164:H170)</f>
        <v>12.51</v>
      </c>
      <c r="I171" s="55"/>
    </row>
    <row r="172" spans="1:9">
      <c r="A172" s="14"/>
      <c r="B172" s="148" t="s">
        <v>35</v>
      </c>
      <c r="C172" s="149"/>
      <c r="D172" s="149"/>
      <c r="E172" s="149"/>
      <c r="F172" s="149"/>
      <c r="G172" s="149"/>
      <c r="H172" s="149"/>
      <c r="I172" s="150"/>
    </row>
    <row r="173" spans="1:9">
      <c r="A173" s="14"/>
      <c r="B173" s="30" t="s">
        <v>107</v>
      </c>
      <c r="C173" s="25" t="s">
        <v>108</v>
      </c>
      <c r="D173" s="54">
        <v>5.19</v>
      </c>
      <c r="E173" s="54">
        <v>8.23</v>
      </c>
      <c r="F173" s="54">
        <v>34.79</v>
      </c>
      <c r="G173" s="54">
        <v>248.5</v>
      </c>
      <c r="H173" s="54">
        <v>5.71</v>
      </c>
      <c r="I173" s="55">
        <v>12</v>
      </c>
    </row>
    <row r="174" spans="1:9" ht="140.4">
      <c r="A174" s="14"/>
      <c r="B174" s="30" t="s">
        <v>38</v>
      </c>
      <c r="C174" s="25" t="s">
        <v>176</v>
      </c>
      <c r="D174" s="54">
        <v>5.8</v>
      </c>
      <c r="E174" s="54">
        <v>5</v>
      </c>
      <c r="F174" s="54">
        <v>8</v>
      </c>
      <c r="G174" s="54">
        <v>106</v>
      </c>
      <c r="H174" s="54">
        <v>1.4</v>
      </c>
      <c r="I174" s="55" t="s">
        <v>40</v>
      </c>
    </row>
    <row r="175" spans="1:9">
      <c r="A175" s="14"/>
      <c r="B175" s="30" t="s">
        <v>34</v>
      </c>
      <c r="C175" s="57">
        <f t="shared" ref="C175:H175" si="13">C173+C174</f>
        <v>270</v>
      </c>
      <c r="D175" s="54">
        <f t="shared" si="13"/>
        <v>10.99</v>
      </c>
      <c r="E175" s="54">
        <f t="shared" si="13"/>
        <v>13.23</v>
      </c>
      <c r="F175" s="54">
        <f t="shared" si="13"/>
        <v>42.79</v>
      </c>
      <c r="G175" s="54">
        <f t="shared" si="13"/>
        <v>354.5</v>
      </c>
      <c r="H175" s="54">
        <f t="shared" si="13"/>
        <v>7.1099999999999994</v>
      </c>
      <c r="I175" s="55"/>
    </row>
    <row r="176" spans="1:9">
      <c r="A176" s="33"/>
      <c r="B176" s="148" t="s">
        <v>41</v>
      </c>
      <c r="C176" s="149"/>
      <c r="D176" s="149"/>
      <c r="E176" s="149"/>
      <c r="F176" s="149"/>
      <c r="G176" s="149"/>
      <c r="H176" s="149"/>
      <c r="I176" s="150"/>
    </row>
    <row r="177" spans="1:9">
      <c r="A177" s="27">
        <v>44</v>
      </c>
      <c r="B177" s="30" t="s">
        <v>109</v>
      </c>
      <c r="C177" s="25" t="s">
        <v>110</v>
      </c>
      <c r="D177" s="54">
        <v>9.65</v>
      </c>
      <c r="E177" s="54">
        <v>9.8000000000000007</v>
      </c>
      <c r="F177" s="54">
        <v>12.06</v>
      </c>
      <c r="G177" s="54">
        <v>187</v>
      </c>
      <c r="H177" s="54">
        <v>33.22</v>
      </c>
      <c r="I177" s="55">
        <v>60</v>
      </c>
    </row>
    <row r="178" spans="1:9">
      <c r="A178" s="27"/>
      <c r="B178" s="30" t="s">
        <v>32</v>
      </c>
      <c r="C178" s="53">
        <v>25</v>
      </c>
      <c r="D178" s="54">
        <v>1.9</v>
      </c>
      <c r="E178" s="54">
        <v>0.2</v>
      </c>
      <c r="F178" s="54">
        <v>12.3</v>
      </c>
      <c r="G178" s="54">
        <v>58.75</v>
      </c>
      <c r="H178" s="54">
        <v>0</v>
      </c>
      <c r="I178" s="55" t="s">
        <v>20</v>
      </c>
    </row>
    <row r="179" spans="1:9" ht="280.8">
      <c r="A179" s="27"/>
      <c r="B179" s="30" t="s">
        <v>44</v>
      </c>
      <c r="C179" s="25" t="s">
        <v>57</v>
      </c>
      <c r="D179" s="54">
        <v>1.2</v>
      </c>
      <c r="E179" s="54">
        <v>0.4</v>
      </c>
      <c r="F179" s="54">
        <v>16.8</v>
      </c>
      <c r="G179" s="54">
        <v>76.8</v>
      </c>
      <c r="H179" s="54">
        <v>8</v>
      </c>
      <c r="I179" s="55">
        <v>76</v>
      </c>
    </row>
    <row r="180" spans="1:9">
      <c r="A180" s="47">
        <v>31</v>
      </c>
      <c r="B180" s="58" t="s">
        <v>14</v>
      </c>
      <c r="C180" s="83">
        <v>200</v>
      </c>
      <c r="D180" s="54">
        <v>0</v>
      </c>
      <c r="E180" s="54">
        <v>0</v>
      </c>
      <c r="F180" s="54">
        <v>6.99</v>
      </c>
      <c r="G180" s="54">
        <v>28</v>
      </c>
      <c r="H180" s="54">
        <v>0</v>
      </c>
      <c r="I180" s="59">
        <v>13</v>
      </c>
    </row>
    <row r="181" spans="1:9" ht="135.75" customHeight="1">
      <c r="A181" s="14"/>
      <c r="B181" s="30" t="s">
        <v>34</v>
      </c>
      <c r="C181" s="83">
        <f t="shared" ref="C181:H181" si="14">C177+C178+C179+C180</f>
        <v>555</v>
      </c>
      <c r="D181" s="54">
        <f t="shared" si="14"/>
        <v>12.75</v>
      </c>
      <c r="E181" s="54">
        <f t="shared" si="14"/>
        <v>10.4</v>
      </c>
      <c r="F181" s="54">
        <f t="shared" si="14"/>
        <v>48.15</v>
      </c>
      <c r="G181" s="54">
        <f t="shared" si="14"/>
        <v>350.55</v>
      </c>
      <c r="H181" s="54">
        <f t="shared" si="14"/>
        <v>41.22</v>
      </c>
      <c r="I181" s="55"/>
    </row>
    <row r="182" spans="1:9">
      <c r="A182" s="14"/>
      <c r="B182" s="30"/>
      <c r="C182" s="84"/>
      <c r="D182" s="60" t="s">
        <v>7</v>
      </c>
      <c r="E182" s="61" t="s">
        <v>8</v>
      </c>
      <c r="F182" s="61" t="s">
        <v>9</v>
      </c>
      <c r="G182" s="62" t="s">
        <v>46</v>
      </c>
      <c r="H182" s="61" t="s">
        <v>47</v>
      </c>
      <c r="I182" s="55"/>
    </row>
    <row r="183" spans="1:9">
      <c r="A183" s="14"/>
      <c r="B183" s="63" t="s">
        <v>111</v>
      </c>
      <c r="C183" s="84"/>
      <c r="D183" s="54">
        <f>SUM(D159+D162+D171+D181+D175)</f>
        <v>65.59</v>
      </c>
      <c r="E183" s="54">
        <f>SUM(E159+E162+E171+E181+E175)</f>
        <v>61.53</v>
      </c>
      <c r="F183" s="54">
        <f>SUM(F159+F162+F171+F181+F175)</f>
        <v>272.70000000000005</v>
      </c>
      <c r="G183" s="54">
        <f>SUM(G159+G162+G171+G181+G175)</f>
        <v>1966.74</v>
      </c>
      <c r="H183" s="54">
        <f>SUM(H159+H162+H171+H181+H175)</f>
        <v>64.849999999999994</v>
      </c>
      <c r="I183" s="55"/>
    </row>
    <row r="184" spans="1:9">
      <c r="A184" s="14"/>
      <c r="B184" s="63" t="s">
        <v>49</v>
      </c>
      <c r="C184" s="84"/>
      <c r="D184" s="54">
        <v>54</v>
      </c>
      <c r="E184" s="54">
        <v>60</v>
      </c>
      <c r="F184" s="54">
        <v>261</v>
      </c>
      <c r="G184" s="54">
        <v>1800</v>
      </c>
      <c r="H184" s="54">
        <v>50</v>
      </c>
      <c r="I184" s="55"/>
    </row>
    <row r="185" spans="1:9" ht="139.19999999999999">
      <c r="A185" s="109"/>
      <c r="B185" s="64" t="s">
        <v>50</v>
      </c>
      <c r="C185" s="81"/>
      <c r="D185" s="65">
        <f>D183*100/D184</f>
        <v>121.46296296296296</v>
      </c>
      <c r="E185" s="65">
        <f>E183*100/E184</f>
        <v>102.55</v>
      </c>
      <c r="F185" s="65">
        <f>F183*100/F184</f>
        <v>104.48275862068967</v>
      </c>
      <c r="G185" s="65">
        <f>G183*100/G184</f>
        <v>109.26333333333334</v>
      </c>
      <c r="H185" s="65">
        <f>H183*100/H184</f>
        <v>129.69999999999999</v>
      </c>
      <c r="I185" s="56"/>
    </row>
    <row r="186" spans="1:9">
      <c r="A186" s="35"/>
      <c r="B186" s="67"/>
      <c r="C186" s="68"/>
      <c r="D186" s="69"/>
      <c r="E186" s="69"/>
      <c r="F186" s="69"/>
      <c r="G186" s="69"/>
      <c r="H186" s="69"/>
      <c r="I186" s="70"/>
    </row>
    <row r="187" spans="1:9">
      <c r="A187" s="35"/>
      <c r="B187" s="71" t="s">
        <v>51</v>
      </c>
      <c r="C187" s="71"/>
      <c r="D187" s="71"/>
      <c r="E187" s="69"/>
      <c r="F187" s="69"/>
      <c r="G187" s="69"/>
      <c r="H187" s="69"/>
      <c r="I187" s="70"/>
    </row>
    <row r="188" spans="1:9">
      <c r="A188" s="35"/>
      <c r="B188" s="71" t="s">
        <v>181</v>
      </c>
      <c r="C188" s="72"/>
      <c r="D188" s="71"/>
      <c r="E188" s="71"/>
      <c r="F188" s="71"/>
      <c r="G188" s="71"/>
      <c r="H188" s="71"/>
      <c r="I188" s="70"/>
    </row>
    <row r="189" spans="1:9">
      <c r="A189" s="35"/>
      <c r="B189" s="67"/>
      <c r="C189" s="68"/>
      <c r="D189" s="69"/>
      <c r="E189" s="69"/>
      <c r="F189" s="69"/>
      <c r="G189" s="69"/>
      <c r="H189" s="69"/>
      <c r="I189" s="70"/>
    </row>
    <row r="190" spans="1:9">
      <c r="A190" s="153" t="s">
        <v>0</v>
      </c>
      <c r="B190" s="145" t="s">
        <v>1</v>
      </c>
      <c r="C190" s="176" t="s">
        <v>2</v>
      </c>
      <c r="D190" s="145" t="s">
        <v>3</v>
      </c>
      <c r="E190" s="146"/>
      <c r="F190" s="147"/>
      <c r="G190" s="145" t="s">
        <v>4</v>
      </c>
      <c r="H190" s="145" t="s">
        <v>5</v>
      </c>
      <c r="I190" s="141" t="s">
        <v>6</v>
      </c>
    </row>
    <row r="191" spans="1:9">
      <c r="A191" s="153"/>
      <c r="B191" s="151"/>
      <c r="C191" s="175"/>
      <c r="D191" s="60" t="s">
        <v>7</v>
      </c>
      <c r="E191" s="61" t="s">
        <v>8</v>
      </c>
      <c r="F191" s="61" t="s">
        <v>9</v>
      </c>
      <c r="G191" s="151"/>
      <c r="H191" s="151"/>
      <c r="I191" s="142"/>
    </row>
    <row r="192" spans="1:9">
      <c r="A192" s="39"/>
      <c r="B192" s="93" t="s">
        <v>112</v>
      </c>
      <c r="C192" s="105"/>
      <c r="D192" s="105"/>
      <c r="E192" s="105"/>
      <c r="F192" s="105"/>
      <c r="G192" s="105"/>
      <c r="H192" s="105"/>
      <c r="I192" s="106"/>
    </row>
    <row r="193" spans="1:9">
      <c r="A193" s="39"/>
      <c r="B193" s="145" t="s">
        <v>11</v>
      </c>
      <c r="C193" s="146"/>
      <c r="D193" s="146"/>
      <c r="E193" s="146"/>
      <c r="F193" s="146"/>
      <c r="G193" s="146"/>
      <c r="H193" s="146"/>
      <c r="I193" s="147"/>
    </row>
    <row r="194" spans="1:9">
      <c r="A194" s="14"/>
      <c r="B194" s="58" t="s">
        <v>113</v>
      </c>
      <c r="C194" s="83">
        <v>200</v>
      </c>
      <c r="D194" s="54">
        <v>5.77</v>
      </c>
      <c r="E194" s="54">
        <v>7.24</v>
      </c>
      <c r="F194" s="54">
        <v>17.690000000000001</v>
      </c>
      <c r="G194" s="65">
        <v>158.66999999999999</v>
      </c>
      <c r="H194" s="76">
        <v>1.1599999999999999</v>
      </c>
      <c r="I194" s="55">
        <v>1</v>
      </c>
    </row>
    <row r="195" spans="1:9">
      <c r="A195" s="14"/>
      <c r="B195" s="30" t="s">
        <v>45</v>
      </c>
      <c r="C195" s="83">
        <v>200</v>
      </c>
      <c r="D195" s="54">
        <v>2.62</v>
      </c>
      <c r="E195" s="54">
        <v>2.17</v>
      </c>
      <c r="F195" s="54">
        <v>10.88</v>
      </c>
      <c r="G195" s="54">
        <v>74</v>
      </c>
      <c r="H195" s="54">
        <v>1.01</v>
      </c>
      <c r="I195" s="55">
        <v>15</v>
      </c>
    </row>
    <row r="196" spans="1:9">
      <c r="A196" s="14">
        <v>16</v>
      </c>
      <c r="B196" s="30" t="s">
        <v>90</v>
      </c>
      <c r="C196" s="108" t="s">
        <v>186</v>
      </c>
      <c r="D196" s="54">
        <v>1.95</v>
      </c>
      <c r="E196" s="54">
        <v>4.49</v>
      </c>
      <c r="F196" s="54">
        <v>12.38</v>
      </c>
      <c r="G196" s="54">
        <v>98</v>
      </c>
      <c r="H196" s="54">
        <v>0</v>
      </c>
      <c r="I196" s="55">
        <v>16</v>
      </c>
    </row>
    <row r="197" spans="1:9">
      <c r="A197" s="14"/>
      <c r="B197" s="30" t="s">
        <v>17</v>
      </c>
      <c r="C197" s="108" t="s">
        <v>187</v>
      </c>
      <c r="D197" s="54">
        <f>SUM(D194:D196)</f>
        <v>10.34</v>
      </c>
      <c r="E197" s="54">
        <f>SUM(E194:E196)</f>
        <v>13.9</v>
      </c>
      <c r="F197" s="54">
        <f>SUM(F194:F196)</f>
        <v>40.950000000000003</v>
      </c>
      <c r="G197" s="54">
        <f>SUM(G194:G196)</f>
        <v>330.66999999999996</v>
      </c>
      <c r="H197" s="54">
        <f>SUM(H194:H196)</f>
        <v>2.17</v>
      </c>
      <c r="I197" s="55"/>
    </row>
    <row r="198" spans="1:9">
      <c r="A198" s="39"/>
      <c r="B198" s="145" t="s">
        <v>19</v>
      </c>
      <c r="C198" s="146"/>
      <c r="D198" s="146"/>
      <c r="E198" s="146"/>
      <c r="F198" s="146"/>
      <c r="G198" s="146"/>
      <c r="H198" s="146"/>
      <c r="I198" s="147"/>
    </row>
    <row r="199" spans="1:9">
      <c r="A199" s="14" t="s">
        <v>20</v>
      </c>
      <c r="B199" s="30" t="s">
        <v>21</v>
      </c>
      <c r="C199" s="77" t="s">
        <v>13</v>
      </c>
      <c r="D199" s="54">
        <v>0.3</v>
      </c>
      <c r="E199" s="54">
        <v>0.15</v>
      </c>
      <c r="F199" s="54">
        <v>15.15</v>
      </c>
      <c r="G199" s="54">
        <v>69</v>
      </c>
      <c r="H199" s="54">
        <v>3</v>
      </c>
      <c r="I199" s="55" t="s">
        <v>20</v>
      </c>
    </row>
    <row r="200" spans="1:9">
      <c r="A200" s="14"/>
      <c r="B200" s="30" t="s">
        <v>17</v>
      </c>
      <c r="C200" s="53" t="str">
        <f>C199</f>
        <v>150</v>
      </c>
      <c r="D200" s="54">
        <f>SUM(D199)</f>
        <v>0.3</v>
      </c>
      <c r="E200" s="54">
        <f>SUM(E199)</f>
        <v>0.15</v>
      </c>
      <c r="F200" s="54">
        <f>SUM(F199)</f>
        <v>15.15</v>
      </c>
      <c r="G200" s="54">
        <f>SUM(G199)</f>
        <v>69</v>
      </c>
      <c r="H200" s="54">
        <f>SUM(H199)</f>
        <v>3</v>
      </c>
      <c r="I200" s="55"/>
    </row>
    <row r="201" spans="1:9">
      <c r="A201" s="39"/>
      <c r="B201" s="145" t="s">
        <v>24</v>
      </c>
      <c r="C201" s="146"/>
      <c r="D201" s="146"/>
      <c r="E201" s="146"/>
      <c r="F201" s="146"/>
      <c r="G201" s="146"/>
      <c r="H201" s="146"/>
      <c r="I201" s="147"/>
    </row>
    <row r="202" spans="1:9">
      <c r="A202" s="14">
        <v>33</v>
      </c>
      <c r="B202" s="78" t="s">
        <v>59</v>
      </c>
      <c r="C202" s="77" t="s">
        <v>69</v>
      </c>
      <c r="D202" s="54">
        <v>1.03</v>
      </c>
      <c r="E202" s="54">
        <v>5.05</v>
      </c>
      <c r="F202" s="54">
        <v>5.58</v>
      </c>
      <c r="G202" s="54">
        <v>72</v>
      </c>
      <c r="H202" s="54">
        <v>5.01</v>
      </c>
      <c r="I202" s="59">
        <v>18</v>
      </c>
    </row>
    <row r="203" spans="1:9" ht="210.6">
      <c r="A203" s="14"/>
      <c r="B203" s="30" t="s">
        <v>60</v>
      </c>
      <c r="C203" s="108" t="s">
        <v>182</v>
      </c>
      <c r="D203" s="54">
        <v>6.73</v>
      </c>
      <c r="E203" s="54">
        <v>6.07</v>
      </c>
      <c r="F203" s="54">
        <v>4.07</v>
      </c>
      <c r="G203" s="54">
        <v>102.04</v>
      </c>
      <c r="H203" s="54">
        <v>19.71</v>
      </c>
      <c r="I203" s="55">
        <v>34</v>
      </c>
    </row>
    <row r="204" spans="1:9" ht="140.4">
      <c r="A204" s="14">
        <v>71</v>
      </c>
      <c r="B204" s="30" t="s">
        <v>114</v>
      </c>
      <c r="C204" s="25" t="s">
        <v>191</v>
      </c>
      <c r="D204" s="54">
        <v>17.3</v>
      </c>
      <c r="E204" s="54">
        <v>12.3</v>
      </c>
      <c r="F204" s="54">
        <v>2.6</v>
      </c>
      <c r="G204" s="54">
        <v>125.3</v>
      </c>
      <c r="H204" s="54">
        <v>1.61</v>
      </c>
      <c r="I204" s="59">
        <v>40</v>
      </c>
    </row>
    <row r="205" spans="1:9">
      <c r="A205" s="14">
        <v>63</v>
      </c>
      <c r="B205" s="30" t="s">
        <v>115</v>
      </c>
      <c r="C205" s="83">
        <v>150</v>
      </c>
      <c r="D205" s="54">
        <v>0.69</v>
      </c>
      <c r="E205" s="54">
        <v>0</v>
      </c>
      <c r="F205" s="54">
        <v>28.28</v>
      </c>
      <c r="G205" s="54">
        <v>120</v>
      </c>
      <c r="H205" s="54">
        <v>0.63</v>
      </c>
      <c r="I205" s="59">
        <v>8</v>
      </c>
    </row>
    <row r="206" spans="1:9">
      <c r="A206" s="14">
        <v>36</v>
      </c>
      <c r="B206" s="30" t="s">
        <v>116</v>
      </c>
      <c r="C206" s="53">
        <v>200</v>
      </c>
      <c r="D206" s="54">
        <v>0.16</v>
      </c>
      <c r="E206" s="54">
        <v>0.16</v>
      </c>
      <c r="F206" s="54">
        <v>10.91</v>
      </c>
      <c r="G206" s="54">
        <v>47</v>
      </c>
      <c r="H206" s="54">
        <v>4</v>
      </c>
      <c r="I206" s="55">
        <v>54</v>
      </c>
    </row>
    <row r="207" spans="1:9">
      <c r="A207" s="14" t="s">
        <v>20</v>
      </c>
      <c r="B207" s="30" t="s">
        <v>32</v>
      </c>
      <c r="C207" s="53">
        <v>30</v>
      </c>
      <c r="D207" s="54">
        <v>2.2799999999999998</v>
      </c>
      <c r="E207" s="54">
        <v>0.24</v>
      </c>
      <c r="F207" s="54">
        <v>14.76</v>
      </c>
      <c r="G207" s="54">
        <v>70.5</v>
      </c>
      <c r="H207" s="54">
        <v>0</v>
      </c>
      <c r="I207" s="55" t="s">
        <v>20</v>
      </c>
    </row>
    <row r="208" spans="1:9">
      <c r="A208" s="14" t="s">
        <v>20</v>
      </c>
      <c r="B208" s="30" t="s">
        <v>33</v>
      </c>
      <c r="C208" s="53">
        <v>50</v>
      </c>
      <c r="D208" s="54">
        <v>3.3</v>
      </c>
      <c r="E208" s="54">
        <v>0.6</v>
      </c>
      <c r="F208" s="54">
        <v>17</v>
      </c>
      <c r="G208" s="54">
        <v>90.5</v>
      </c>
      <c r="H208" s="54">
        <v>0</v>
      </c>
      <c r="I208" s="55" t="s">
        <v>20</v>
      </c>
    </row>
    <row r="209" spans="1:9">
      <c r="A209" s="27"/>
      <c r="B209" s="58" t="s">
        <v>34</v>
      </c>
      <c r="C209" s="83">
        <v>796</v>
      </c>
      <c r="D209" s="79">
        <f>SUM(D202:D208)</f>
        <v>31.490000000000006</v>
      </c>
      <c r="E209" s="79">
        <f>SUM(E202:E208)</f>
        <v>24.42</v>
      </c>
      <c r="F209" s="79">
        <f>SUM(F202:F208)</f>
        <v>83.2</v>
      </c>
      <c r="G209" s="79">
        <f>SUM(G202:G208)</f>
        <v>627.34</v>
      </c>
      <c r="H209" s="79">
        <f>SUM(H202:H208)</f>
        <v>30.959999999999997</v>
      </c>
      <c r="I209" s="59"/>
    </row>
    <row r="210" spans="1:9">
      <c r="A210" s="14"/>
      <c r="B210" s="148" t="s">
        <v>35</v>
      </c>
      <c r="C210" s="149"/>
      <c r="D210" s="149"/>
      <c r="E210" s="149"/>
      <c r="F210" s="149"/>
      <c r="G210" s="149"/>
      <c r="H210" s="149"/>
      <c r="I210" s="150"/>
    </row>
    <row r="211" spans="1:9" ht="210.6">
      <c r="A211" s="14"/>
      <c r="B211" s="30" t="s">
        <v>36</v>
      </c>
      <c r="C211" s="84" t="s">
        <v>83</v>
      </c>
      <c r="D211" s="54">
        <v>1</v>
      </c>
      <c r="E211" s="54">
        <v>2</v>
      </c>
      <c r="F211" s="54">
        <v>21.43</v>
      </c>
      <c r="G211" s="54">
        <v>128.57</v>
      </c>
      <c r="H211" s="54">
        <v>0</v>
      </c>
      <c r="I211" s="55" t="s">
        <v>20</v>
      </c>
    </row>
    <row r="212" spans="1:9" ht="140.4">
      <c r="A212" s="14"/>
      <c r="B212" s="30" t="s">
        <v>38</v>
      </c>
      <c r="C212" s="25" t="s">
        <v>176</v>
      </c>
      <c r="D212" s="54">
        <v>5.8</v>
      </c>
      <c r="E212" s="54">
        <v>5</v>
      </c>
      <c r="F212" s="54">
        <v>8</v>
      </c>
      <c r="G212" s="54">
        <v>106</v>
      </c>
      <c r="H212" s="54">
        <v>1.4</v>
      </c>
      <c r="I212" s="55" t="s">
        <v>40</v>
      </c>
    </row>
    <row r="213" spans="1:9">
      <c r="A213" s="14"/>
      <c r="B213" s="30" t="s">
        <v>34</v>
      </c>
      <c r="C213" s="57">
        <f t="shared" ref="C213:H213" si="15">C211+C212</f>
        <v>250</v>
      </c>
      <c r="D213" s="54">
        <f t="shared" si="15"/>
        <v>6.8</v>
      </c>
      <c r="E213" s="54">
        <f t="shared" si="15"/>
        <v>7</v>
      </c>
      <c r="F213" s="54">
        <f t="shared" si="15"/>
        <v>29.43</v>
      </c>
      <c r="G213" s="54">
        <f t="shared" si="15"/>
        <v>234.57</v>
      </c>
      <c r="H213" s="54">
        <f t="shared" si="15"/>
        <v>1.4</v>
      </c>
      <c r="I213" s="55"/>
    </row>
    <row r="214" spans="1:9">
      <c r="A214" s="6"/>
      <c r="B214" s="148" t="s">
        <v>41</v>
      </c>
      <c r="C214" s="149"/>
      <c r="D214" s="149"/>
      <c r="E214" s="149"/>
      <c r="F214" s="149"/>
      <c r="G214" s="149"/>
      <c r="H214" s="149"/>
      <c r="I214" s="150"/>
    </row>
    <row r="215" spans="1:9" ht="210.6">
      <c r="A215" s="14"/>
      <c r="B215" s="30" t="s">
        <v>117</v>
      </c>
      <c r="C215" s="84" t="s">
        <v>192</v>
      </c>
      <c r="D215" s="54">
        <v>18.5</v>
      </c>
      <c r="E215" s="54">
        <v>16.28</v>
      </c>
      <c r="F215" s="54">
        <v>49.47</v>
      </c>
      <c r="G215" s="54">
        <f>D215*4+E215*9+F215*4</f>
        <v>418.4</v>
      </c>
      <c r="H215" s="54">
        <v>0.51</v>
      </c>
      <c r="I215" s="59">
        <v>55</v>
      </c>
    </row>
    <row r="216" spans="1:9" ht="280.8">
      <c r="A216" s="14"/>
      <c r="B216" s="30" t="s">
        <v>44</v>
      </c>
      <c r="C216" s="25" t="s">
        <v>57</v>
      </c>
      <c r="D216" s="54">
        <v>1.2</v>
      </c>
      <c r="E216" s="54">
        <v>0.4</v>
      </c>
      <c r="F216" s="54">
        <v>16.8</v>
      </c>
      <c r="G216" s="54">
        <v>76.8</v>
      </c>
      <c r="H216" s="54">
        <v>8</v>
      </c>
      <c r="I216" s="55">
        <v>76</v>
      </c>
    </row>
    <row r="217" spans="1:9">
      <c r="A217" s="14">
        <v>2</v>
      </c>
      <c r="B217" s="58" t="s">
        <v>86</v>
      </c>
      <c r="C217" s="83">
        <v>200</v>
      </c>
      <c r="D217" s="79">
        <v>1.45</v>
      </c>
      <c r="E217" s="79">
        <v>1.25</v>
      </c>
      <c r="F217" s="79">
        <v>9.39</v>
      </c>
      <c r="G217" s="79">
        <v>55</v>
      </c>
      <c r="H217" s="79">
        <v>0.65</v>
      </c>
      <c r="I217" s="80">
        <v>59</v>
      </c>
    </row>
    <row r="218" spans="1:9">
      <c r="A218" s="33"/>
      <c r="B218" s="30" t="s">
        <v>17</v>
      </c>
      <c r="C218" s="83">
        <f t="shared" ref="C218:H218" si="16">C215+C216+C217</f>
        <v>465</v>
      </c>
      <c r="D218" s="54">
        <f t="shared" si="16"/>
        <v>21.15</v>
      </c>
      <c r="E218" s="54">
        <f t="shared" si="16"/>
        <v>17.93</v>
      </c>
      <c r="F218" s="54">
        <f t="shared" si="16"/>
        <v>75.66</v>
      </c>
      <c r="G218" s="54">
        <f t="shared" si="16"/>
        <v>550.20000000000005</v>
      </c>
      <c r="H218" s="54">
        <f t="shared" si="16"/>
        <v>9.16</v>
      </c>
      <c r="I218" s="56"/>
    </row>
    <row r="219" spans="1:9">
      <c r="A219" s="14"/>
      <c r="B219" s="30"/>
      <c r="C219" s="84"/>
      <c r="D219" s="60" t="s">
        <v>7</v>
      </c>
      <c r="E219" s="61" t="s">
        <v>8</v>
      </c>
      <c r="F219" s="61" t="s">
        <v>9</v>
      </c>
      <c r="G219" s="62" t="s">
        <v>46</v>
      </c>
      <c r="H219" s="61" t="s">
        <v>47</v>
      </c>
      <c r="I219" s="55"/>
    </row>
    <row r="220" spans="1:9">
      <c r="A220" s="14"/>
      <c r="B220" s="63" t="s">
        <v>119</v>
      </c>
      <c r="C220" s="84"/>
      <c r="D220" s="54">
        <f>SUM(D197+D200+D209+D218+D213)</f>
        <v>70.080000000000013</v>
      </c>
      <c r="E220" s="54">
        <f>SUM(E197+E200+E209+E218+E213)</f>
        <v>63.4</v>
      </c>
      <c r="F220" s="54">
        <f>SUM(F197+F200+F209+F218+F213)</f>
        <v>244.39000000000001</v>
      </c>
      <c r="G220" s="54">
        <f>SUM(G197+G200+G209+G218+G213)</f>
        <v>1811.78</v>
      </c>
      <c r="H220" s="54">
        <f>SUM(H197+H200+H209+H218+H213)</f>
        <v>46.689999999999991</v>
      </c>
      <c r="I220" s="55"/>
    </row>
    <row r="221" spans="1:9">
      <c r="A221" s="14"/>
      <c r="B221" s="63" t="s">
        <v>49</v>
      </c>
      <c r="C221" s="84"/>
      <c r="D221" s="54">
        <v>54</v>
      </c>
      <c r="E221" s="54">
        <v>60</v>
      </c>
      <c r="F221" s="54">
        <v>261</v>
      </c>
      <c r="G221" s="54">
        <v>1800</v>
      </c>
      <c r="H221" s="54">
        <v>50</v>
      </c>
      <c r="I221" s="55"/>
    </row>
    <row r="222" spans="1:9" ht="139.19999999999999">
      <c r="A222" s="33"/>
      <c r="B222" s="64" t="s">
        <v>50</v>
      </c>
      <c r="C222" s="81"/>
      <c r="D222" s="65">
        <f>D220*100/D221</f>
        <v>129.7777777777778</v>
      </c>
      <c r="E222" s="65">
        <f>E220*100/E221</f>
        <v>105.66666666666667</v>
      </c>
      <c r="F222" s="65">
        <f>F220*100/F221</f>
        <v>93.636015325670499</v>
      </c>
      <c r="G222" s="65">
        <f>G220*100/G221</f>
        <v>100.65444444444445</v>
      </c>
      <c r="H222" s="65">
        <f>H220*100/H221</f>
        <v>93.379999999999981</v>
      </c>
      <c r="I222" s="56"/>
    </row>
    <row r="223" spans="1:9">
      <c r="A223" s="35"/>
      <c r="B223" s="67"/>
      <c r="C223" s="68"/>
      <c r="D223" s="69"/>
      <c r="E223" s="69"/>
      <c r="F223" s="69"/>
      <c r="G223" s="69"/>
      <c r="H223" s="69"/>
      <c r="I223" s="70"/>
    </row>
    <row r="224" spans="1:9">
      <c r="A224" s="35"/>
      <c r="B224" s="71" t="s">
        <v>51</v>
      </c>
      <c r="C224" s="71"/>
      <c r="D224" s="71"/>
      <c r="E224" s="69"/>
      <c r="F224" s="69"/>
      <c r="G224" s="69"/>
      <c r="H224" s="69"/>
      <c r="I224" s="70"/>
    </row>
    <row r="225" spans="1:9">
      <c r="A225" s="35"/>
      <c r="B225" s="71" t="s">
        <v>181</v>
      </c>
      <c r="C225" s="72"/>
      <c r="D225" s="71"/>
      <c r="E225" s="71"/>
      <c r="F225" s="71"/>
      <c r="G225" s="71"/>
      <c r="H225" s="71"/>
      <c r="I225" s="70"/>
    </row>
    <row r="226" spans="1:9">
      <c r="A226" s="152" t="s">
        <v>0</v>
      </c>
      <c r="B226" s="145" t="s">
        <v>1</v>
      </c>
      <c r="C226" s="176" t="s">
        <v>2</v>
      </c>
      <c r="D226" s="145" t="s">
        <v>3</v>
      </c>
      <c r="E226" s="146"/>
      <c r="F226" s="147"/>
      <c r="G226" s="145" t="s">
        <v>4</v>
      </c>
      <c r="H226" s="145" t="s">
        <v>5</v>
      </c>
      <c r="I226" s="141" t="s">
        <v>6</v>
      </c>
    </row>
    <row r="227" spans="1:9">
      <c r="A227" s="153"/>
      <c r="B227" s="151"/>
      <c r="C227" s="175"/>
      <c r="D227" s="60" t="s">
        <v>7</v>
      </c>
      <c r="E227" s="61" t="s">
        <v>8</v>
      </c>
      <c r="F227" s="61" t="s">
        <v>9</v>
      </c>
      <c r="G227" s="151"/>
      <c r="H227" s="151"/>
      <c r="I227" s="142"/>
    </row>
    <row r="228" spans="1:9">
      <c r="A228" s="49"/>
      <c r="B228" s="93" t="s">
        <v>120</v>
      </c>
      <c r="C228" s="105"/>
      <c r="D228" s="105"/>
      <c r="E228" s="105"/>
      <c r="F228" s="105"/>
      <c r="G228" s="105"/>
      <c r="H228" s="105"/>
      <c r="I228" s="106"/>
    </row>
    <row r="229" spans="1:9">
      <c r="A229" s="49"/>
      <c r="B229" s="145" t="s">
        <v>11</v>
      </c>
      <c r="C229" s="146"/>
      <c r="D229" s="146"/>
      <c r="E229" s="146"/>
      <c r="F229" s="146"/>
      <c r="G229" s="146"/>
      <c r="H229" s="146"/>
      <c r="I229" s="147"/>
    </row>
    <row r="230" spans="1:9" ht="140.4">
      <c r="A230" s="27">
        <v>50</v>
      </c>
      <c r="B230" s="58" t="s">
        <v>121</v>
      </c>
      <c r="C230" s="83">
        <v>200</v>
      </c>
      <c r="D230" s="79">
        <v>5.95</v>
      </c>
      <c r="E230" s="79">
        <v>6.99</v>
      </c>
      <c r="F230" s="79">
        <v>27.87</v>
      </c>
      <c r="G230" s="79">
        <v>197.33</v>
      </c>
      <c r="H230" s="79">
        <v>1.96</v>
      </c>
      <c r="I230" s="59">
        <v>50</v>
      </c>
    </row>
    <row r="231" spans="1:9">
      <c r="A231" s="14"/>
      <c r="B231" s="58" t="s">
        <v>14</v>
      </c>
      <c r="C231" s="83">
        <v>200</v>
      </c>
      <c r="D231" s="54">
        <v>0</v>
      </c>
      <c r="E231" s="54">
        <v>0</v>
      </c>
      <c r="F231" s="54">
        <v>6.99</v>
      </c>
      <c r="G231" s="54">
        <v>28</v>
      </c>
      <c r="H231" s="54">
        <v>0</v>
      </c>
      <c r="I231" s="59">
        <v>13</v>
      </c>
    </row>
    <row r="232" spans="1:9" ht="140.4">
      <c r="A232" s="14">
        <v>3</v>
      </c>
      <c r="B232" s="30" t="s">
        <v>122</v>
      </c>
      <c r="C232" s="25" t="s">
        <v>193</v>
      </c>
      <c r="D232" s="54">
        <v>2.98</v>
      </c>
      <c r="E232" s="54">
        <v>1.47</v>
      </c>
      <c r="F232" s="54">
        <v>20.62</v>
      </c>
      <c r="G232" s="54">
        <v>108</v>
      </c>
      <c r="H232" s="54">
        <v>0.15</v>
      </c>
      <c r="I232" s="55">
        <v>90</v>
      </c>
    </row>
    <row r="233" spans="1:9">
      <c r="A233" s="14"/>
      <c r="B233" s="30" t="s">
        <v>17</v>
      </c>
      <c r="C233" s="84" t="s">
        <v>194</v>
      </c>
      <c r="D233" s="54">
        <f>D230+D231+D232</f>
        <v>8.93</v>
      </c>
      <c r="E233" s="54">
        <f>E230+E231+E232</f>
        <v>8.4600000000000009</v>
      </c>
      <c r="F233" s="54">
        <f>F230+F231+F232</f>
        <v>55.480000000000004</v>
      </c>
      <c r="G233" s="54">
        <f>G230+G231+G232</f>
        <v>333.33000000000004</v>
      </c>
      <c r="H233" s="54">
        <f>H230+H231+H232</f>
        <v>2.11</v>
      </c>
      <c r="I233" s="55"/>
    </row>
    <row r="234" spans="1:9">
      <c r="A234" s="39"/>
      <c r="B234" s="145" t="s">
        <v>19</v>
      </c>
      <c r="C234" s="146"/>
      <c r="D234" s="146"/>
      <c r="E234" s="146"/>
      <c r="F234" s="146"/>
      <c r="G234" s="146"/>
      <c r="H234" s="146"/>
      <c r="I234" s="147"/>
    </row>
    <row r="235" spans="1:9" ht="140.4">
      <c r="A235" s="14" t="s">
        <v>20</v>
      </c>
      <c r="B235" s="30" t="s">
        <v>179</v>
      </c>
      <c r="C235" s="84" t="s">
        <v>30</v>
      </c>
      <c r="D235" s="79">
        <v>0</v>
      </c>
      <c r="E235" s="79">
        <v>0</v>
      </c>
      <c r="F235" s="79">
        <v>16.149999999999999</v>
      </c>
      <c r="G235" s="79">
        <v>68</v>
      </c>
      <c r="H235" s="79">
        <v>17</v>
      </c>
      <c r="I235" s="55" t="s">
        <v>20</v>
      </c>
    </row>
    <row r="236" spans="1:9">
      <c r="A236" s="14"/>
      <c r="B236" s="30" t="s">
        <v>17</v>
      </c>
      <c r="C236" s="25" t="s">
        <v>30</v>
      </c>
      <c r="D236" s="54">
        <f>SUM(D235)</f>
        <v>0</v>
      </c>
      <c r="E236" s="54">
        <f>SUM(E235)</f>
        <v>0</v>
      </c>
      <c r="F236" s="54">
        <f>SUM(F235)</f>
        <v>16.149999999999999</v>
      </c>
      <c r="G236" s="54">
        <f>SUM(G235)</f>
        <v>68</v>
      </c>
      <c r="H236" s="54">
        <f>SUM(H235)</f>
        <v>17</v>
      </c>
      <c r="I236" s="55"/>
    </row>
    <row r="237" spans="1:9">
      <c r="A237" s="39"/>
      <c r="B237" s="145" t="s">
        <v>24</v>
      </c>
      <c r="C237" s="146"/>
      <c r="D237" s="146"/>
      <c r="E237" s="146"/>
      <c r="F237" s="146"/>
      <c r="G237" s="146"/>
      <c r="H237" s="146"/>
      <c r="I237" s="147"/>
    </row>
    <row r="238" spans="1:9">
      <c r="A238" s="14">
        <v>24</v>
      </c>
      <c r="B238" s="30" t="s">
        <v>125</v>
      </c>
      <c r="C238" s="77" t="s">
        <v>69</v>
      </c>
      <c r="D238" s="54">
        <v>2.87</v>
      </c>
      <c r="E238" s="54">
        <v>5.6</v>
      </c>
      <c r="F238" s="54">
        <v>3.23</v>
      </c>
      <c r="G238" s="54">
        <v>76</v>
      </c>
      <c r="H238" s="54">
        <v>4.4000000000000004</v>
      </c>
      <c r="I238" s="59">
        <v>86</v>
      </c>
    </row>
    <row r="239" spans="1:9" ht="140.4">
      <c r="A239" s="14">
        <v>41</v>
      </c>
      <c r="B239" s="30" t="s">
        <v>126</v>
      </c>
      <c r="C239" s="25" t="s">
        <v>188</v>
      </c>
      <c r="D239" s="54">
        <v>3.32</v>
      </c>
      <c r="E239" s="54">
        <v>4.83</v>
      </c>
      <c r="F239" s="54">
        <v>15.74</v>
      </c>
      <c r="G239" s="54">
        <v>115.2</v>
      </c>
      <c r="H239" s="54">
        <v>6.3</v>
      </c>
      <c r="I239" s="55">
        <v>52</v>
      </c>
    </row>
    <row r="240" spans="1:9">
      <c r="A240" s="14">
        <v>53</v>
      </c>
      <c r="B240" s="30" t="s">
        <v>29</v>
      </c>
      <c r="C240" s="25" t="s">
        <v>30</v>
      </c>
      <c r="D240" s="54">
        <v>14.25</v>
      </c>
      <c r="E240" s="54">
        <v>10.029999999999999</v>
      </c>
      <c r="F240" s="54">
        <v>14.66</v>
      </c>
      <c r="G240" s="54">
        <v>210</v>
      </c>
      <c r="H240" s="54">
        <v>8.32</v>
      </c>
      <c r="I240" s="55">
        <v>19</v>
      </c>
    </row>
    <row r="241" spans="1:9">
      <c r="A241" s="14">
        <v>9</v>
      </c>
      <c r="B241" s="30" t="s">
        <v>31</v>
      </c>
      <c r="C241" s="83">
        <v>200</v>
      </c>
      <c r="D241" s="54">
        <v>0.15</v>
      </c>
      <c r="E241" s="54">
        <v>0.1</v>
      </c>
      <c r="F241" s="54">
        <v>16.59</v>
      </c>
      <c r="G241" s="54">
        <v>70</v>
      </c>
      <c r="H241" s="54">
        <v>3</v>
      </c>
      <c r="I241" s="55">
        <v>20</v>
      </c>
    </row>
    <row r="242" spans="1:9">
      <c r="A242" s="14" t="s">
        <v>20</v>
      </c>
      <c r="B242" s="30" t="s">
        <v>32</v>
      </c>
      <c r="C242" s="53">
        <v>30</v>
      </c>
      <c r="D242" s="54">
        <v>2.2799999999999998</v>
      </c>
      <c r="E242" s="54">
        <v>0.24</v>
      </c>
      <c r="F242" s="54">
        <v>14.76</v>
      </c>
      <c r="G242" s="54">
        <v>70.5</v>
      </c>
      <c r="H242" s="54">
        <v>0</v>
      </c>
      <c r="I242" s="55" t="s">
        <v>20</v>
      </c>
    </row>
    <row r="243" spans="1:9">
      <c r="A243" s="14" t="s">
        <v>20</v>
      </c>
      <c r="B243" s="30" t="s">
        <v>33</v>
      </c>
      <c r="C243" s="53">
        <v>50</v>
      </c>
      <c r="D243" s="54">
        <v>3.3</v>
      </c>
      <c r="E243" s="54">
        <v>0.6</v>
      </c>
      <c r="F243" s="54">
        <v>17</v>
      </c>
      <c r="G243" s="54">
        <v>90.5</v>
      </c>
      <c r="H243" s="54">
        <v>0</v>
      </c>
      <c r="I243" s="55" t="s">
        <v>20</v>
      </c>
    </row>
    <row r="244" spans="1:9">
      <c r="A244" s="27"/>
      <c r="B244" s="58" t="s">
        <v>34</v>
      </c>
      <c r="C244" s="83">
        <v>724</v>
      </c>
      <c r="D244" s="79">
        <f>SUM(D238:D243)</f>
        <v>26.169999999999998</v>
      </c>
      <c r="E244" s="79">
        <f>SUM(E238:E243)</f>
        <v>21.400000000000002</v>
      </c>
      <c r="F244" s="79">
        <f>SUM(F238:F243)</f>
        <v>81.98</v>
      </c>
      <c r="G244" s="79">
        <f>SUM(G238:G243)</f>
        <v>632.20000000000005</v>
      </c>
      <c r="H244" s="79">
        <f>SUM(H238:H243)</f>
        <v>22.02</v>
      </c>
      <c r="I244" s="59"/>
    </row>
    <row r="245" spans="1:9">
      <c r="A245" s="27"/>
      <c r="B245" s="148" t="s">
        <v>35</v>
      </c>
      <c r="C245" s="149"/>
      <c r="D245" s="149"/>
      <c r="E245" s="149"/>
      <c r="F245" s="149"/>
      <c r="G245" s="149"/>
      <c r="H245" s="149"/>
      <c r="I245" s="150"/>
    </row>
    <row r="246" spans="1:9">
      <c r="A246" s="27"/>
      <c r="B246" s="30" t="s">
        <v>127</v>
      </c>
      <c r="C246" s="25" t="s">
        <v>108</v>
      </c>
      <c r="D246" s="54">
        <v>5.6</v>
      </c>
      <c r="E246" s="54">
        <v>11.58</v>
      </c>
      <c r="F246" s="54">
        <v>34.15</v>
      </c>
      <c r="G246" s="54">
        <v>278</v>
      </c>
      <c r="H246" s="54">
        <v>0.03</v>
      </c>
      <c r="I246" s="55">
        <v>17</v>
      </c>
    </row>
    <row r="247" spans="1:9" ht="140.4">
      <c r="A247" s="27"/>
      <c r="B247" s="30" t="s">
        <v>38</v>
      </c>
      <c r="C247" s="25" t="s">
        <v>176</v>
      </c>
      <c r="D247" s="54">
        <v>5.8</v>
      </c>
      <c r="E247" s="54">
        <v>5</v>
      </c>
      <c r="F247" s="54">
        <v>8</v>
      </c>
      <c r="G247" s="54">
        <v>106</v>
      </c>
      <c r="H247" s="54">
        <v>1.4</v>
      </c>
      <c r="I247" s="55" t="s">
        <v>40</v>
      </c>
    </row>
    <row r="248" spans="1:9">
      <c r="A248" s="27"/>
      <c r="B248" s="30" t="s">
        <v>34</v>
      </c>
      <c r="C248" s="57">
        <f t="shared" ref="C248:H248" si="17">C246+C247</f>
        <v>270</v>
      </c>
      <c r="D248" s="54">
        <f t="shared" si="17"/>
        <v>11.399999999999999</v>
      </c>
      <c r="E248" s="54">
        <f t="shared" si="17"/>
        <v>16.579999999999998</v>
      </c>
      <c r="F248" s="54">
        <f t="shared" si="17"/>
        <v>42.15</v>
      </c>
      <c r="G248" s="54">
        <f t="shared" si="17"/>
        <v>384</v>
      </c>
      <c r="H248" s="54">
        <f t="shared" si="17"/>
        <v>1.43</v>
      </c>
      <c r="I248" s="55"/>
    </row>
    <row r="249" spans="1:9">
      <c r="A249" s="33"/>
      <c r="B249" s="148" t="s">
        <v>41</v>
      </c>
      <c r="C249" s="149"/>
      <c r="D249" s="149"/>
      <c r="E249" s="149"/>
      <c r="F249" s="149"/>
      <c r="G249" s="149"/>
      <c r="H249" s="149"/>
      <c r="I249" s="150"/>
    </row>
    <row r="250" spans="1:9">
      <c r="A250" s="27"/>
      <c r="B250" s="30" t="s">
        <v>128</v>
      </c>
      <c r="C250" s="82">
        <v>200</v>
      </c>
      <c r="D250" s="54">
        <v>4.24</v>
      </c>
      <c r="E250" s="54">
        <v>5.2</v>
      </c>
      <c r="F250" s="54">
        <v>20.239999999999998</v>
      </c>
      <c r="G250" s="54">
        <v>112.8</v>
      </c>
      <c r="H250" s="54">
        <v>9.64</v>
      </c>
      <c r="I250" s="55">
        <v>67</v>
      </c>
    </row>
    <row r="251" spans="1:9">
      <c r="A251" s="27"/>
      <c r="B251" s="30" t="s">
        <v>32</v>
      </c>
      <c r="C251" s="53">
        <v>25</v>
      </c>
      <c r="D251" s="54">
        <v>1.9</v>
      </c>
      <c r="E251" s="54">
        <v>0.2</v>
      </c>
      <c r="F251" s="54">
        <v>12.3</v>
      </c>
      <c r="G251" s="54">
        <v>58.75</v>
      </c>
      <c r="H251" s="54">
        <v>0</v>
      </c>
      <c r="I251" s="55" t="s">
        <v>20</v>
      </c>
    </row>
    <row r="252" spans="1:9" ht="280.8">
      <c r="A252" s="27"/>
      <c r="B252" s="30" t="s">
        <v>44</v>
      </c>
      <c r="C252" s="25" t="s">
        <v>57</v>
      </c>
      <c r="D252" s="54">
        <v>1.2</v>
      </c>
      <c r="E252" s="54">
        <v>0.4</v>
      </c>
      <c r="F252" s="54">
        <v>16.8</v>
      </c>
      <c r="G252" s="54">
        <v>76.8</v>
      </c>
      <c r="H252" s="54">
        <v>8</v>
      </c>
      <c r="I252" s="55">
        <v>76</v>
      </c>
    </row>
    <row r="253" spans="1:9">
      <c r="A253" s="27">
        <v>13</v>
      </c>
      <c r="B253" s="30" t="s">
        <v>45</v>
      </c>
      <c r="C253" s="83">
        <v>200</v>
      </c>
      <c r="D253" s="54">
        <v>2.62</v>
      </c>
      <c r="E253" s="54">
        <v>2.17</v>
      </c>
      <c r="F253" s="54">
        <v>10.88</v>
      </c>
      <c r="G253" s="54">
        <v>74</v>
      </c>
      <c r="H253" s="54">
        <v>1.01</v>
      </c>
      <c r="I253" s="55">
        <v>15</v>
      </c>
    </row>
    <row r="254" spans="1:9">
      <c r="A254" s="33"/>
      <c r="B254" s="30" t="s">
        <v>17</v>
      </c>
      <c r="C254" s="83">
        <f t="shared" ref="C254:H254" si="18">C250+C251+C252+C253</f>
        <v>505</v>
      </c>
      <c r="D254" s="54">
        <f t="shared" si="18"/>
        <v>9.9600000000000009</v>
      </c>
      <c r="E254" s="54">
        <f t="shared" si="18"/>
        <v>7.9700000000000006</v>
      </c>
      <c r="F254" s="54">
        <f t="shared" si="18"/>
        <v>60.220000000000006</v>
      </c>
      <c r="G254" s="54">
        <f t="shared" si="18"/>
        <v>322.35000000000002</v>
      </c>
      <c r="H254" s="54">
        <f t="shared" si="18"/>
        <v>18.650000000000002</v>
      </c>
      <c r="I254" s="56"/>
    </row>
    <row r="255" spans="1:9">
      <c r="A255" s="14"/>
      <c r="B255" s="30"/>
      <c r="C255" s="84"/>
      <c r="D255" s="60" t="s">
        <v>7</v>
      </c>
      <c r="E255" s="61" t="s">
        <v>8</v>
      </c>
      <c r="F255" s="61" t="s">
        <v>9</v>
      </c>
      <c r="G255" s="62" t="s">
        <v>46</v>
      </c>
      <c r="H255" s="61" t="s">
        <v>47</v>
      </c>
      <c r="I255" s="55"/>
    </row>
    <row r="256" spans="1:9">
      <c r="A256" s="14"/>
      <c r="B256" s="63" t="s">
        <v>129</v>
      </c>
      <c r="C256" s="84"/>
      <c r="D256" s="54">
        <f>SUM(D233+D236+D244+D254+D248)</f>
        <v>56.459999999999994</v>
      </c>
      <c r="E256" s="54">
        <f>SUM(E233+E236+E244+E254+E248)</f>
        <v>54.410000000000004</v>
      </c>
      <c r="F256" s="54">
        <f>SUM(F233+F236+F244+F254+F248)</f>
        <v>255.98000000000002</v>
      </c>
      <c r="G256" s="54">
        <f>SUM(G233+G236+G244+G254+G248)</f>
        <v>1739.88</v>
      </c>
      <c r="H256" s="54">
        <f>SUM(H233+H236+H244+H254+H248)</f>
        <v>61.21</v>
      </c>
      <c r="I256" s="55"/>
    </row>
    <row r="257" spans="1:9">
      <c r="A257" s="14"/>
      <c r="B257" s="63" t="s">
        <v>49</v>
      </c>
      <c r="C257" s="84"/>
      <c r="D257" s="54">
        <v>54</v>
      </c>
      <c r="E257" s="54">
        <v>60</v>
      </c>
      <c r="F257" s="54">
        <v>261</v>
      </c>
      <c r="G257" s="54">
        <v>1800</v>
      </c>
      <c r="H257" s="54">
        <v>50</v>
      </c>
      <c r="I257" s="55"/>
    </row>
    <row r="258" spans="1:9" ht="139.19999999999999">
      <c r="A258" s="33"/>
      <c r="B258" s="64" t="s">
        <v>50</v>
      </c>
      <c r="C258" s="81"/>
      <c r="D258" s="65">
        <f>D256*100/D257</f>
        <v>104.55555555555554</v>
      </c>
      <c r="E258" s="65">
        <f>E256*100/E257</f>
        <v>90.683333333333337</v>
      </c>
      <c r="F258" s="65">
        <f>F256*100/F257</f>
        <v>98.076628352490417</v>
      </c>
      <c r="G258" s="65">
        <f>G256*100/G257</f>
        <v>96.66</v>
      </c>
      <c r="H258" s="65">
        <f>H256*100/H257</f>
        <v>122.42</v>
      </c>
      <c r="I258" s="56"/>
    </row>
    <row r="259" spans="1:9">
      <c r="A259" s="35"/>
      <c r="B259" s="67"/>
      <c r="C259" s="68"/>
      <c r="D259" s="69"/>
      <c r="E259" s="69"/>
      <c r="F259" s="69"/>
      <c r="G259" s="69"/>
      <c r="H259" s="69"/>
      <c r="I259" s="70"/>
    </row>
    <row r="260" spans="1:9">
      <c r="A260" s="35"/>
      <c r="B260" s="71" t="s">
        <v>51</v>
      </c>
      <c r="C260" s="71"/>
      <c r="D260" s="71"/>
      <c r="E260" s="69"/>
      <c r="F260" s="69"/>
      <c r="G260" s="69"/>
      <c r="H260" s="69"/>
      <c r="I260" s="70"/>
    </row>
    <row r="261" spans="1:9">
      <c r="A261" s="35"/>
      <c r="B261" s="71" t="s">
        <v>181</v>
      </c>
      <c r="C261" s="72"/>
      <c r="D261" s="71"/>
      <c r="E261" s="71"/>
      <c r="F261" s="71"/>
      <c r="G261" s="71"/>
      <c r="H261" s="71"/>
      <c r="I261" s="70"/>
    </row>
    <row r="262" spans="1:9">
      <c r="A262" s="35"/>
      <c r="B262" s="158" t="s">
        <v>195</v>
      </c>
      <c r="C262" s="159"/>
      <c r="D262" s="159"/>
      <c r="E262" s="159"/>
      <c r="F262" s="159"/>
      <c r="G262" s="159"/>
      <c r="H262" s="159"/>
      <c r="I262" s="160"/>
    </row>
    <row r="263" spans="1:9">
      <c r="A263" s="152" t="s">
        <v>0</v>
      </c>
      <c r="B263" s="145" t="s">
        <v>1</v>
      </c>
      <c r="C263" s="176" t="s">
        <v>2</v>
      </c>
      <c r="D263" s="145" t="s">
        <v>3</v>
      </c>
      <c r="E263" s="146"/>
      <c r="F263" s="147"/>
      <c r="G263" s="145" t="s">
        <v>4</v>
      </c>
      <c r="H263" s="145" t="s">
        <v>5</v>
      </c>
      <c r="I263" s="141" t="s">
        <v>6</v>
      </c>
    </row>
    <row r="264" spans="1:9">
      <c r="A264" s="153"/>
      <c r="B264" s="151"/>
      <c r="C264" s="175"/>
      <c r="D264" s="60" t="s">
        <v>7</v>
      </c>
      <c r="E264" s="61" t="s">
        <v>8</v>
      </c>
      <c r="F264" s="61" t="s">
        <v>9</v>
      </c>
      <c r="G264" s="151"/>
      <c r="H264" s="151"/>
      <c r="I264" s="142"/>
    </row>
    <row r="265" spans="1:9">
      <c r="A265" s="49"/>
      <c r="B265" s="93" t="s">
        <v>131</v>
      </c>
      <c r="C265" s="105"/>
      <c r="D265" s="105"/>
      <c r="E265" s="105"/>
      <c r="F265" s="105"/>
      <c r="G265" s="105"/>
      <c r="H265" s="105"/>
      <c r="I265" s="106"/>
    </row>
    <row r="266" spans="1:9">
      <c r="A266" s="49"/>
      <c r="B266" s="145" t="s">
        <v>11</v>
      </c>
      <c r="C266" s="146"/>
      <c r="D266" s="146"/>
      <c r="E266" s="146"/>
      <c r="F266" s="146"/>
      <c r="G266" s="146"/>
      <c r="H266" s="146"/>
      <c r="I266" s="147"/>
    </row>
    <row r="267" spans="1:9" ht="140.4">
      <c r="A267" s="14"/>
      <c r="B267" s="58" t="s">
        <v>132</v>
      </c>
      <c r="C267" s="83">
        <v>200</v>
      </c>
      <c r="D267" s="79">
        <v>7.68</v>
      </c>
      <c r="E267" s="79">
        <v>7.75</v>
      </c>
      <c r="F267" s="79">
        <v>29.57</v>
      </c>
      <c r="G267" s="79">
        <v>218.67</v>
      </c>
      <c r="H267" s="79">
        <v>1.96</v>
      </c>
      <c r="I267" s="59">
        <v>45</v>
      </c>
    </row>
    <row r="268" spans="1:9" ht="78.75" customHeight="1">
      <c r="A268" s="14"/>
      <c r="B268" s="30" t="s">
        <v>73</v>
      </c>
      <c r="C268" s="83">
        <v>200</v>
      </c>
      <c r="D268" s="79">
        <v>2.66</v>
      </c>
      <c r="E268" s="79">
        <v>2.15</v>
      </c>
      <c r="F268" s="79">
        <v>10.93</v>
      </c>
      <c r="G268" s="79">
        <v>72</v>
      </c>
      <c r="H268" s="79">
        <v>1.01</v>
      </c>
      <c r="I268" s="55">
        <v>2</v>
      </c>
    </row>
    <row r="269" spans="1:9" ht="90.75" customHeight="1">
      <c r="A269" s="14">
        <v>16</v>
      </c>
      <c r="B269" s="30" t="s">
        <v>15</v>
      </c>
      <c r="C269" s="84" t="s">
        <v>177</v>
      </c>
      <c r="D269" s="54">
        <v>4.96</v>
      </c>
      <c r="E269" s="54">
        <v>7.6</v>
      </c>
      <c r="F269" s="54">
        <v>12.36</v>
      </c>
      <c r="G269" s="54">
        <v>138</v>
      </c>
      <c r="H269" s="54">
        <v>0.09</v>
      </c>
      <c r="I269" s="55">
        <v>3</v>
      </c>
    </row>
    <row r="270" spans="1:9">
      <c r="A270" s="14"/>
      <c r="B270" s="30" t="s">
        <v>17</v>
      </c>
      <c r="C270" s="84" t="s">
        <v>178</v>
      </c>
      <c r="D270" s="54">
        <f>SUM(D267:D269)</f>
        <v>15.3</v>
      </c>
      <c r="E270" s="54">
        <f>SUM(E267:E269)</f>
        <v>17.5</v>
      </c>
      <c r="F270" s="54">
        <f>SUM(F267:F269)</f>
        <v>52.86</v>
      </c>
      <c r="G270" s="54">
        <f>SUM(G267:G269)</f>
        <v>428.66999999999996</v>
      </c>
      <c r="H270" s="54">
        <f>SUM(H267:H269)</f>
        <v>3.0599999999999996</v>
      </c>
      <c r="I270" s="55"/>
    </row>
    <row r="271" spans="1:9">
      <c r="A271" s="39"/>
      <c r="B271" s="145" t="s">
        <v>19</v>
      </c>
      <c r="C271" s="146"/>
      <c r="D271" s="146"/>
      <c r="E271" s="146"/>
      <c r="F271" s="146"/>
      <c r="G271" s="146"/>
      <c r="H271" s="146"/>
      <c r="I271" s="147"/>
    </row>
    <row r="272" spans="1:9" ht="140.4">
      <c r="A272" s="14" t="s">
        <v>20</v>
      </c>
      <c r="B272" s="30" t="s">
        <v>179</v>
      </c>
      <c r="C272" s="84" t="s">
        <v>30</v>
      </c>
      <c r="D272" s="79">
        <v>0</v>
      </c>
      <c r="E272" s="79">
        <v>0</v>
      </c>
      <c r="F272" s="79">
        <v>16.149999999999999</v>
      </c>
      <c r="G272" s="79">
        <v>68</v>
      </c>
      <c r="H272" s="79">
        <v>17</v>
      </c>
      <c r="I272" s="55" t="s">
        <v>20</v>
      </c>
    </row>
    <row r="273" spans="1:9">
      <c r="A273" s="14"/>
      <c r="B273" s="30" t="s">
        <v>17</v>
      </c>
      <c r="C273" s="25" t="s">
        <v>30</v>
      </c>
      <c r="D273" s="54">
        <f>SUM(D272)</f>
        <v>0</v>
      </c>
      <c r="E273" s="54">
        <f>SUM(E272)</f>
        <v>0</v>
      </c>
      <c r="F273" s="54">
        <f>SUM(F272)</f>
        <v>16.149999999999999</v>
      </c>
      <c r="G273" s="54">
        <f>SUM(G272)</f>
        <v>68</v>
      </c>
      <c r="H273" s="54">
        <f>SUM(H272)</f>
        <v>17</v>
      </c>
      <c r="I273" s="55"/>
    </row>
    <row r="274" spans="1:9">
      <c r="A274" s="49"/>
      <c r="B274" s="145" t="s">
        <v>24</v>
      </c>
      <c r="C274" s="146"/>
      <c r="D274" s="146"/>
      <c r="E274" s="146"/>
      <c r="F274" s="146"/>
      <c r="G274" s="146"/>
      <c r="H274" s="146"/>
      <c r="I274" s="147"/>
    </row>
    <row r="275" spans="1:9" ht="143.25" customHeight="1">
      <c r="A275" s="49"/>
      <c r="B275" s="30" t="s">
        <v>133</v>
      </c>
      <c r="C275" s="108" t="s">
        <v>69</v>
      </c>
      <c r="D275" s="54">
        <v>1.57</v>
      </c>
      <c r="E275" s="54">
        <v>5.08</v>
      </c>
      <c r="F275" s="54">
        <v>3.9</v>
      </c>
      <c r="G275" s="54">
        <v>67</v>
      </c>
      <c r="H275" s="54">
        <v>3.2</v>
      </c>
      <c r="I275" s="55">
        <v>24</v>
      </c>
    </row>
    <row r="276" spans="1:9" ht="140.4">
      <c r="A276" s="49"/>
      <c r="B276" s="30" t="s">
        <v>134</v>
      </c>
      <c r="C276" s="108" t="s">
        <v>188</v>
      </c>
      <c r="D276" s="54">
        <v>3.27</v>
      </c>
      <c r="E276" s="54">
        <v>4.09</v>
      </c>
      <c r="F276" s="54">
        <v>16.75</v>
      </c>
      <c r="G276" s="54">
        <v>110.11</v>
      </c>
      <c r="H276" s="54">
        <v>6.57</v>
      </c>
      <c r="I276" s="55">
        <v>25</v>
      </c>
    </row>
    <row r="277" spans="1:9" ht="140.4">
      <c r="A277" s="49"/>
      <c r="B277" s="30" t="s">
        <v>96</v>
      </c>
      <c r="C277" s="83">
        <v>70</v>
      </c>
      <c r="D277" s="54">
        <v>9.84</v>
      </c>
      <c r="E277" s="54">
        <v>8.02</v>
      </c>
      <c r="F277" s="54">
        <v>7.16</v>
      </c>
      <c r="G277" s="54">
        <v>139.13</v>
      </c>
      <c r="H277" s="54">
        <v>0.81</v>
      </c>
      <c r="I277" s="55">
        <v>6</v>
      </c>
    </row>
    <row r="278" spans="1:9">
      <c r="A278" s="49"/>
      <c r="B278" s="30" t="s">
        <v>135</v>
      </c>
      <c r="C278" s="83">
        <v>150</v>
      </c>
      <c r="D278" s="54">
        <v>2.89</v>
      </c>
      <c r="E278" s="54">
        <v>3.54</v>
      </c>
      <c r="F278" s="54">
        <v>8.5</v>
      </c>
      <c r="G278" s="54">
        <v>83.75</v>
      </c>
      <c r="H278" s="54">
        <v>23.7</v>
      </c>
      <c r="I278" s="55">
        <v>73</v>
      </c>
    </row>
    <row r="279" spans="1:9">
      <c r="A279" s="14">
        <v>20</v>
      </c>
      <c r="B279" s="30" t="s">
        <v>31</v>
      </c>
      <c r="C279" s="83">
        <v>200</v>
      </c>
      <c r="D279" s="54">
        <v>0.15</v>
      </c>
      <c r="E279" s="54">
        <v>0.1</v>
      </c>
      <c r="F279" s="54">
        <v>16.59</v>
      </c>
      <c r="G279" s="54">
        <v>70</v>
      </c>
      <c r="H279" s="54">
        <v>3</v>
      </c>
      <c r="I279" s="55">
        <v>20</v>
      </c>
    </row>
    <row r="280" spans="1:9">
      <c r="A280" s="14" t="s">
        <v>20</v>
      </c>
      <c r="B280" s="30" t="s">
        <v>32</v>
      </c>
      <c r="C280" s="53">
        <v>30</v>
      </c>
      <c r="D280" s="54">
        <v>2.2799999999999998</v>
      </c>
      <c r="E280" s="54">
        <v>0.24</v>
      </c>
      <c r="F280" s="54">
        <v>14.76</v>
      </c>
      <c r="G280" s="54">
        <v>70.5</v>
      </c>
      <c r="H280" s="54">
        <v>0</v>
      </c>
      <c r="I280" s="55" t="s">
        <v>20</v>
      </c>
    </row>
    <row r="281" spans="1:9">
      <c r="A281" s="14" t="s">
        <v>20</v>
      </c>
      <c r="B281" s="30" t="s">
        <v>33</v>
      </c>
      <c r="C281" s="53">
        <v>50</v>
      </c>
      <c r="D281" s="54">
        <v>3.3</v>
      </c>
      <c r="E281" s="54">
        <v>0.6</v>
      </c>
      <c r="F281" s="54">
        <v>17</v>
      </c>
      <c r="G281" s="54">
        <v>90.5</v>
      </c>
      <c r="H281" s="54">
        <v>0</v>
      </c>
      <c r="I281" s="55" t="s">
        <v>20</v>
      </c>
    </row>
    <row r="282" spans="1:9">
      <c r="A282" s="27"/>
      <c r="B282" s="58" t="s">
        <v>34</v>
      </c>
      <c r="C282" s="83">
        <v>774</v>
      </c>
      <c r="D282" s="79">
        <f>SUM(D275:D281)</f>
        <v>23.3</v>
      </c>
      <c r="E282" s="79">
        <f>SUM(E275:E281)</f>
        <v>21.669999999999998</v>
      </c>
      <c r="F282" s="79">
        <f>SUM(F275:F281)</f>
        <v>84.660000000000011</v>
      </c>
      <c r="G282" s="79">
        <f>SUM(G275:G281)</f>
        <v>630.99</v>
      </c>
      <c r="H282" s="79">
        <f>SUM(H275:H281)</f>
        <v>37.28</v>
      </c>
      <c r="I282" s="59"/>
    </row>
    <row r="283" spans="1:9">
      <c r="A283" s="27"/>
      <c r="B283" s="148" t="s">
        <v>35</v>
      </c>
      <c r="C283" s="149"/>
      <c r="D283" s="149"/>
      <c r="E283" s="149"/>
      <c r="F283" s="149"/>
      <c r="G283" s="149"/>
      <c r="H283" s="149"/>
      <c r="I283" s="150"/>
    </row>
    <row r="284" spans="1:9" ht="210.6">
      <c r="A284" s="27"/>
      <c r="B284" s="30" t="s">
        <v>36</v>
      </c>
      <c r="C284" s="84" t="s">
        <v>83</v>
      </c>
      <c r="D284" s="54">
        <v>1</v>
      </c>
      <c r="E284" s="54">
        <v>2</v>
      </c>
      <c r="F284" s="54">
        <v>21.43</v>
      </c>
      <c r="G284" s="54">
        <v>128.57</v>
      </c>
      <c r="H284" s="54">
        <v>0</v>
      </c>
      <c r="I284" s="55" t="s">
        <v>20</v>
      </c>
    </row>
    <row r="285" spans="1:9" ht="140.4">
      <c r="A285" s="27"/>
      <c r="B285" s="30" t="s">
        <v>38</v>
      </c>
      <c r="C285" s="25" t="s">
        <v>176</v>
      </c>
      <c r="D285" s="54">
        <v>5.8</v>
      </c>
      <c r="E285" s="54">
        <v>5</v>
      </c>
      <c r="F285" s="54">
        <v>8</v>
      </c>
      <c r="G285" s="54">
        <v>106</v>
      </c>
      <c r="H285" s="54">
        <v>1.4</v>
      </c>
      <c r="I285" s="55" t="s">
        <v>40</v>
      </c>
    </row>
    <row r="286" spans="1:9">
      <c r="A286" s="27"/>
      <c r="B286" s="30" t="s">
        <v>34</v>
      </c>
      <c r="C286" s="57">
        <f t="shared" ref="C286:H286" si="19">C284+C285</f>
        <v>250</v>
      </c>
      <c r="D286" s="54">
        <f t="shared" si="19"/>
        <v>6.8</v>
      </c>
      <c r="E286" s="54">
        <f t="shared" si="19"/>
        <v>7</v>
      </c>
      <c r="F286" s="54">
        <f t="shared" si="19"/>
        <v>29.43</v>
      </c>
      <c r="G286" s="54">
        <f t="shared" si="19"/>
        <v>234.57</v>
      </c>
      <c r="H286" s="54">
        <f t="shared" si="19"/>
        <v>1.4</v>
      </c>
      <c r="I286" s="55"/>
    </row>
    <row r="287" spans="1:9" s="48" customFormat="1">
      <c r="A287" s="33"/>
      <c r="B287" s="148" t="s">
        <v>41</v>
      </c>
      <c r="C287" s="149"/>
      <c r="D287" s="149"/>
      <c r="E287" s="149"/>
      <c r="F287" s="149"/>
      <c r="G287" s="149"/>
      <c r="H287" s="149"/>
      <c r="I287" s="150"/>
    </row>
    <row r="288" spans="1:9" s="48" customFormat="1" ht="140.4">
      <c r="A288" s="27">
        <v>60</v>
      </c>
      <c r="B288" s="30" t="s">
        <v>136</v>
      </c>
      <c r="C288" s="25" t="s">
        <v>196</v>
      </c>
      <c r="D288" s="54">
        <v>19.8</v>
      </c>
      <c r="E288" s="54">
        <v>14.05</v>
      </c>
      <c r="F288" s="54">
        <v>27.36</v>
      </c>
      <c r="G288" s="54">
        <f>D288*4+E288*9+F288*4</f>
        <v>315.09000000000003</v>
      </c>
      <c r="H288" s="54">
        <v>0.3</v>
      </c>
      <c r="I288" s="55">
        <v>78</v>
      </c>
    </row>
    <row r="289" spans="1:9" s="48" customFormat="1" ht="280.8">
      <c r="A289" s="27"/>
      <c r="B289" s="30" t="s">
        <v>44</v>
      </c>
      <c r="C289" s="25" t="s">
        <v>22</v>
      </c>
      <c r="D289" s="54">
        <v>1.5</v>
      </c>
      <c r="E289" s="54">
        <v>0.5</v>
      </c>
      <c r="F289" s="54">
        <v>21</v>
      </c>
      <c r="G289" s="54">
        <v>96</v>
      </c>
      <c r="H289" s="54">
        <v>10</v>
      </c>
      <c r="I289" s="55">
        <v>76</v>
      </c>
    </row>
    <row r="290" spans="1:9">
      <c r="A290" s="47">
        <v>59</v>
      </c>
      <c r="B290" s="58" t="s">
        <v>14</v>
      </c>
      <c r="C290" s="83">
        <v>200</v>
      </c>
      <c r="D290" s="54">
        <v>0</v>
      </c>
      <c r="E290" s="54">
        <v>0</v>
      </c>
      <c r="F290" s="54">
        <v>6.99</v>
      </c>
      <c r="G290" s="54">
        <v>28</v>
      </c>
      <c r="H290" s="54">
        <v>0</v>
      </c>
      <c r="I290" s="59">
        <v>13</v>
      </c>
    </row>
    <row r="291" spans="1:9">
      <c r="A291" s="33"/>
      <c r="B291" s="30" t="s">
        <v>17</v>
      </c>
      <c r="C291" s="83">
        <f t="shared" ref="C291:H291" si="20">C288+C289+C290</f>
        <v>453</v>
      </c>
      <c r="D291" s="54">
        <f t="shared" si="20"/>
        <v>21.3</v>
      </c>
      <c r="E291" s="54">
        <f t="shared" si="20"/>
        <v>14.55</v>
      </c>
      <c r="F291" s="54">
        <f t="shared" si="20"/>
        <v>55.35</v>
      </c>
      <c r="G291" s="54">
        <f t="shared" si="20"/>
        <v>439.09000000000003</v>
      </c>
      <c r="H291" s="54">
        <f t="shared" si="20"/>
        <v>10.3</v>
      </c>
      <c r="I291" s="56"/>
    </row>
    <row r="292" spans="1:9">
      <c r="A292" s="14"/>
      <c r="B292" s="30"/>
      <c r="C292" s="84"/>
      <c r="D292" s="60" t="s">
        <v>7</v>
      </c>
      <c r="E292" s="61" t="s">
        <v>8</v>
      </c>
      <c r="F292" s="61" t="s">
        <v>9</v>
      </c>
      <c r="G292" s="62" t="s">
        <v>46</v>
      </c>
      <c r="H292" s="61" t="s">
        <v>47</v>
      </c>
      <c r="I292" s="55"/>
    </row>
    <row r="293" spans="1:9">
      <c r="A293" s="14"/>
      <c r="B293" s="63" t="s">
        <v>197</v>
      </c>
      <c r="C293" s="84"/>
      <c r="D293" s="54">
        <f>SUM(D270+D273+D282+D291+D286)</f>
        <v>66.7</v>
      </c>
      <c r="E293" s="54">
        <f>SUM(E270+E273+E282+E291+E286)</f>
        <v>60.72</v>
      </c>
      <c r="F293" s="54">
        <f>SUM(F270+F273+F282+F291+F286)</f>
        <v>238.45000000000002</v>
      </c>
      <c r="G293" s="54">
        <f>SUM(G270+G273+G282+G291+G286)</f>
        <v>1801.32</v>
      </c>
      <c r="H293" s="54">
        <f>SUM(H270+H273+H282+H291+H286)</f>
        <v>69.040000000000006</v>
      </c>
      <c r="I293" s="55"/>
    </row>
    <row r="294" spans="1:9">
      <c r="A294" s="14"/>
      <c r="B294" s="63" t="s">
        <v>49</v>
      </c>
      <c r="C294" s="84"/>
      <c r="D294" s="54">
        <v>54</v>
      </c>
      <c r="E294" s="54">
        <v>60</v>
      </c>
      <c r="F294" s="54">
        <v>261</v>
      </c>
      <c r="G294" s="54">
        <v>1800</v>
      </c>
      <c r="H294" s="54">
        <v>50</v>
      </c>
      <c r="I294" s="55"/>
    </row>
    <row r="295" spans="1:9" ht="139.19999999999999">
      <c r="A295" s="109"/>
      <c r="B295" s="64" t="s">
        <v>50</v>
      </c>
      <c r="C295" s="81"/>
      <c r="D295" s="65">
        <f>D293*100/D294</f>
        <v>123.51851851851852</v>
      </c>
      <c r="E295" s="65">
        <f>E293*100/E294</f>
        <v>101.2</v>
      </c>
      <c r="F295" s="65">
        <f>F293*100/F294</f>
        <v>91.360153256704976</v>
      </c>
      <c r="G295" s="65">
        <f>G293*100/G294</f>
        <v>100.07333333333334</v>
      </c>
      <c r="H295" s="65">
        <f>H293*100/H294</f>
        <v>138.08000000000001</v>
      </c>
      <c r="I295" s="56"/>
    </row>
    <row r="296" spans="1:9">
      <c r="A296" s="35"/>
      <c r="B296" s="71" t="s">
        <v>51</v>
      </c>
      <c r="C296" s="71"/>
      <c r="D296" s="71"/>
      <c r="E296" s="69"/>
      <c r="F296" s="69"/>
      <c r="G296" s="69"/>
      <c r="H296" s="69"/>
      <c r="I296" s="70"/>
    </row>
    <row r="297" spans="1:9">
      <c r="A297" s="35"/>
      <c r="B297" s="71" t="s">
        <v>181</v>
      </c>
      <c r="C297" s="72"/>
      <c r="D297" s="71"/>
      <c r="E297" s="71"/>
      <c r="F297" s="71"/>
      <c r="G297" s="71"/>
      <c r="H297" s="71"/>
      <c r="I297" s="70"/>
    </row>
    <row r="298" spans="1:9">
      <c r="A298" s="153" t="s">
        <v>0</v>
      </c>
      <c r="B298" s="145" t="s">
        <v>1</v>
      </c>
      <c r="C298" s="176" t="s">
        <v>2</v>
      </c>
      <c r="D298" s="145" t="s">
        <v>3</v>
      </c>
      <c r="E298" s="146"/>
      <c r="F298" s="147"/>
      <c r="G298" s="145" t="s">
        <v>4</v>
      </c>
      <c r="H298" s="145" t="s">
        <v>5</v>
      </c>
      <c r="I298" s="141" t="s">
        <v>6</v>
      </c>
    </row>
    <row r="299" spans="1:9">
      <c r="A299" s="153"/>
      <c r="B299" s="151"/>
      <c r="C299" s="175"/>
      <c r="D299" s="60" t="s">
        <v>7</v>
      </c>
      <c r="E299" s="61" t="s">
        <v>8</v>
      </c>
      <c r="F299" s="61" t="s">
        <v>9</v>
      </c>
      <c r="G299" s="151"/>
      <c r="H299" s="151"/>
      <c r="I299" s="142"/>
    </row>
    <row r="300" spans="1:9">
      <c r="A300" s="49"/>
      <c r="B300" s="93" t="s">
        <v>139</v>
      </c>
      <c r="C300" s="105"/>
      <c r="D300" s="105"/>
      <c r="E300" s="105"/>
      <c r="F300" s="105"/>
      <c r="G300" s="105"/>
      <c r="H300" s="105"/>
      <c r="I300" s="106"/>
    </row>
    <row r="301" spans="1:9">
      <c r="A301" s="49"/>
      <c r="B301" s="145" t="s">
        <v>11</v>
      </c>
      <c r="C301" s="146"/>
      <c r="D301" s="146"/>
      <c r="E301" s="146"/>
      <c r="F301" s="146"/>
      <c r="G301" s="146"/>
      <c r="H301" s="146"/>
      <c r="I301" s="147"/>
    </row>
    <row r="302" spans="1:9">
      <c r="A302" s="27">
        <v>45</v>
      </c>
      <c r="B302" s="58" t="s">
        <v>55</v>
      </c>
      <c r="C302" s="53">
        <v>160</v>
      </c>
      <c r="D302" s="79">
        <v>13.96</v>
      </c>
      <c r="E302" s="79">
        <v>14.46</v>
      </c>
      <c r="F302" s="79">
        <v>3.79</v>
      </c>
      <c r="G302" s="79">
        <v>199</v>
      </c>
      <c r="H302" s="79">
        <v>0.84</v>
      </c>
      <c r="I302" s="59">
        <v>37</v>
      </c>
    </row>
    <row r="303" spans="1:9" ht="210.6">
      <c r="A303" s="14"/>
      <c r="B303" s="30" t="s">
        <v>56</v>
      </c>
      <c r="C303" s="77" t="s">
        <v>99</v>
      </c>
      <c r="D303" s="54">
        <v>1.08</v>
      </c>
      <c r="E303" s="54">
        <v>4.2300000000000004</v>
      </c>
      <c r="F303" s="54">
        <v>6.93</v>
      </c>
      <c r="G303" s="54">
        <v>70.2</v>
      </c>
      <c r="H303" s="54">
        <v>8.64</v>
      </c>
      <c r="I303" s="59">
        <v>26</v>
      </c>
    </row>
    <row r="304" spans="1:9">
      <c r="A304" s="14"/>
      <c r="B304" s="58" t="s">
        <v>86</v>
      </c>
      <c r="C304" s="83">
        <v>200</v>
      </c>
      <c r="D304" s="79">
        <v>1.45</v>
      </c>
      <c r="E304" s="79">
        <v>1.25</v>
      </c>
      <c r="F304" s="79">
        <v>9.39</v>
      </c>
      <c r="G304" s="79">
        <v>55</v>
      </c>
      <c r="H304" s="79">
        <v>0.65</v>
      </c>
      <c r="I304" s="80">
        <v>59</v>
      </c>
    </row>
    <row r="305" spans="1:9">
      <c r="A305" s="14">
        <v>3</v>
      </c>
      <c r="B305" s="30" t="s">
        <v>15</v>
      </c>
      <c r="C305" s="84" t="s">
        <v>177</v>
      </c>
      <c r="D305" s="54">
        <v>4.96</v>
      </c>
      <c r="E305" s="54">
        <v>7.6</v>
      </c>
      <c r="F305" s="54">
        <v>12.36</v>
      </c>
      <c r="G305" s="54">
        <v>138</v>
      </c>
      <c r="H305" s="54">
        <v>0.09</v>
      </c>
      <c r="I305" s="55">
        <v>3</v>
      </c>
    </row>
    <row r="306" spans="1:9">
      <c r="A306" s="14"/>
      <c r="B306" s="30" t="s">
        <v>17</v>
      </c>
      <c r="C306" s="84" t="s">
        <v>198</v>
      </c>
      <c r="D306" s="54">
        <f>D302+D303+D304+D305</f>
        <v>21.450000000000003</v>
      </c>
      <c r="E306" s="54">
        <f>E302+E303+E304+E305</f>
        <v>27.54</v>
      </c>
      <c r="F306" s="54">
        <f>F302+F303+F304+F305</f>
        <v>32.47</v>
      </c>
      <c r="G306" s="54">
        <f>G302+G303+G304+G305</f>
        <v>462.2</v>
      </c>
      <c r="H306" s="54">
        <f>H302+H303+H304+H305</f>
        <v>10.220000000000001</v>
      </c>
      <c r="I306" s="55"/>
    </row>
    <row r="307" spans="1:9">
      <c r="A307" s="39"/>
      <c r="B307" s="145" t="s">
        <v>19</v>
      </c>
      <c r="C307" s="146"/>
      <c r="D307" s="146"/>
      <c r="E307" s="146"/>
      <c r="F307" s="146"/>
      <c r="G307" s="146"/>
      <c r="H307" s="146"/>
      <c r="I307" s="147"/>
    </row>
    <row r="308" spans="1:9">
      <c r="A308" s="14" t="s">
        <v>20</v>
      </c>
      <c r="B308" s="30" t="s">
        <v>21</v>
      </c>
      <c r="C308" s="77" t="s">
        <v>13</v>
      </c>
      <c r="D308" s="54">
        <v>0.3</v>
      </c>
      <c r="E308" s="54">
        <v>0.15</v>
      </c>
      <c r="F308" s="54">
        <v>15.15</v>
      </c>
      <c r="G308" s="54">
        <v>69</v>
      </c>
      <c r="H308" s="54">
        <v>3</v>
      </c>
      <c r="I308" s="55" t="s">
        <v>20</v>
      </c>
    </row>
    <row r="309" spans="1:9">
      <c r="A309" s="14"/>
      <c r="B309" s="30" t="s">
        <v>17</v>
      </c>
      <c r="C309" s="53" t="str">
        <f>C308</f>
        <v>150</v>
      </c>
      <c r="D309" s="54">
        <f>SUM(D308)</f>
        <v>0.3</v>
      </c>
      <c r="E309" s="54">
        <f>SUM(E308)</f>
        <v>0.15</v>
      </c>
      <c r="F309" s="54">
        <f>SUM(F308)</f>
        <v>15.15</v>
      </c>
      <c r="G309" s="54">
        <f>SUM(G308)</f>
        <v>69</v>
      </c>
      <c r="H309" s="54">
        <f>SUM(H308)</f>
        <v>3</v>
      </c>
      <c r="I309" s="55"/>
    </row>
    <row r="310" spans="1:9">
      <c r="A310" s="39"/>
      <c r="B310" s="145" t="s">
        <v>24</v>
      </c>
      <c r="C310" s="146"/>
      <c r="D310" s="146"/>
      <c r="E310" s="146"/>
      <c r="F310" s="146"/>
      <c r="G310" s="146"/>
      <c r="H310" s="146"/>
      <c r="I310" s="147"/>
    </row>
    <row r="311" spans="1:9" ht="140.4">
      <c r="A311" s="14">
        <v>56</v>
      </c>
      <c r="B311" s="78" t="s">
        <v>71</v>
      </c>
      <c r="C311" s="77" t="s">
        <v>69</v>
      </c>
      <c r="D311" s="54">
        <v>0.48</v>
      </c>
      <c r="E311" s="54">
        <v>0.06</v>
      </c>
      <c r="F311" s="54">
        <v>1.5</v>
      </c>
      <c r="G311" s="54">
        <v>8.4</v>
      </c>
      <c r="H311" s="54">
        <v>6</v>
      </c>
      <c r="I311" s="59">
        <v>89</v>
      </c>
    </row>
    <row r="312" spans="1:9" ht="140.4">
      <c r="A312" s="14">
        <v>57</v>
      </c>
      <c r="B312" s="30" t="s">
        <v>141</v>
      </c>
      <c r="C312" s="84" t="s">
        <v>188</v>
      </c>
      <c r="D312" s="54">
        <v>3.37</v>
      </c>
      <c r="E312" s="54">
        <v>4.49</v>
      </c>
      <c r="F312" s="54">
        <v>11.02</v>
      </c>
      <c r="G312" s="54">
        <v>110.11</v>
      </c>
      <c r="H312" s="54">
        <v>7.97</v>
      </c>
      <c r="I312" s="55">
        <v>70</v>
      </c>
    </row>
    <row r="313" spans="1:9">
      <c r="A313" s="14">
        <v>64</v>
      </c>
      <c r="B313" s="30" t="s">
        <v>142</v>
      </c>
      <c r="C313" s="83">
        <v>70</v>
      </c>
      <c r="D313" s="54">
        <v>8.98</v>
      </c>
      <c r="E313" s="54">
        <v>9.49</v>
      </c>
      <c r="F313" s="54">
        <v>7.31</v>
      </c>
      <c r="G313" s="54">
        <v>150.5</v>
      </c>
      <c r="H313" s="54">
        <v>0.79</v>
      </c>
      <c r="I313" s="55">
        <v>64</v>
      </c>
    </row>
    <row r="314" spans="1:9">
      <c r="A314" s="14"/>
      <c r="B314" s="30" t="s">
        <v>143</v>
      </c>
      <c r="C314" s="83">
        <v>40</v>
      </c>
      <c r="D314" s="54">
        <v>0.33</v>
      </c>
      <c r="E314" s="54">
        <v>1.28</v>
      </c>
      <c r="F314" s="54">
        <v>1.89</v>
      </c>
      <c r="G314" s="54">
        <v>19.43</v>
      </c>
      <c r="H314" s="54">
        <v>0.55000000000000004</v>
      </c>
      <c r="I314" s="55">
        <v>7</v>
      </c>
    </row>
    <row r="315" spans="1:9">
      <c r="A315" s="14">
        <v>73</v>
      </c>
      <c r="B315" s="30" t="s">
        <v>115</v>
      </c>
      <c r="C315" s="83">
        <v>150</v>
      </c>
      <c r="D315" s="54">
        <v>0.69</v>
      </c>
      <c r="E315" s="54">
        <v>0</v>
      </c>
      <c r="F315" s="54">
        <v>28.28</v>
      </c>
      <c r="G315" s="54">
        <v>120</v>
      </c>
      <c r="H315" s="54">
        <v>0.63</v>
      </c>
      <c r="I315" s="59">
        <v>8</v>
      </c>
    </row>
    <row r="316" spans="1:9">
      <c r="A316" s="14">
        <v>36</v>
      </c>
      <c r="B316" s="30" t="s">
        <v>116</v>
      </c>
      <c r="C316" s="53">
        <v>200</v>
      </c>
      <c r="D316" s="54">
        <v>0.16</v>
      </c>
      <c r="E316" s="54">
        <v>0.16</v>
      </c>
      <c r="F316" s="54">
        <v>10.91</v>
      </c>
      <c r="G316" s="54">
        <v>47</v>
      </c>
      <c r="H316" s="54">
        <v>4</v>
      </c>
      <c r="I316" s="55">
        <v>54</v>
      </c>
    </row>
    <row r="317" spans="1:9">
      <c r="A317" s="14" t="s">
        <v>20</v>
      </c>
      <c r="B317" s="30" t="s">
        <v>32</v>
      </c>
      <c r="C317" s="53">
        <v>30</v>
      </c>
      <c r="D317" s="54">
        <v>2.2799999999999998</v>
      </c>
      <c r="E317" s="54">
        <v>0.24</v>
      </c>
      <c r="F317" s="54">
        <v>14.76</v>
      </c>
      <c r="G317" s="54">
        <v>70.5</v>
      </c>
      <c r="H317" s="54">
        <v>0</v>
      </c>
      <c r="I317" s="55" t="s">
        <v>20</v>
      </c>
    </row>
    <row r="318" spans="1:9">
      <c r="A318" s="14" t="s">
        <v>20</v>
      </c>
      <c r="B318" s="30" t="s">
        <v>33</v>
      </c>
      <c r="C318" s="53">
        <v>50</v>
      </c>
      <c r="D318" s="54">
        <v>3.3</v>
      </c>
      <c r="E318" s="54">
        <v>0.6</v>
      </c>
      <c r="F318" s="54">
        <v>17</v>
      </c>
      <c r="G318" s="54">
        <v>90.5</v>
      </c>
      <c r="H318" s="54">
        <v>0</v>
      </c>
      <c r="I318" s="55" t="s">
        <v>20</v>
      </c>
    </row>
    <row r="319" spans="1:9">
      <c r="A319" s="27"/>
      <c r="B319" s="58" t="s">
        <v>34</v>
      </c>
      <c r="C319" s="83">
        <v>804</v>
      </c>
      <c r="D319" s="79">
        <f>D311+D312+D313+D314+D315+D316+D317+D318</f>
        <v>19.59</v>
      </c>
      <c r="E319" s="79">
        <f>E311+E312+E313+E314+E315+E316+E317+E318</f>
        <v>16.32</v>
      </c>
      <c r="F319" s="79">
        <f>F311+F312+F313+F314+F315+F316+F317+F318</f>
        <v>92.67</v>
      </c>
      <c r="G319" s="79">
        <f>G311+G312+G313+G314+G315+G316+G317+G318</f>
        <v>616.44000000000005</v>
      </c>
      <c r="H319" s="79">
        <f>H311+H312+H313+H314+H315+H316+H317+H318</f>
        <v>19.939999999999998</v>
      </c>
      <c r="I319" s="59"/>
    </row>
    <row r="320" spans="1:9">
      <c r="A320" s="27"/>
      <c r="B320" s="148" t="s">
        <v>35</v>
      </c>
      <c r="C320" s="149"/>
      <c r="D320" s="149"/>
      <c r="E320" s="149"/>
      <c r="F320" s="149"/>
      <c r="G320" s="149"/>
      <c r="H320" s="149"/>
      <c r="I320" s="150"/>
    </row>
    <row r="321" spans="1:9">
      <c r="A321" s="27"/>
      <c r="B321" s="30" t="s">
        <v>144</v>
      </c>
      <c r="C321" s="84" t="s">
        <v>108</v>
      </c>
      <c r="D321" s="54">
        <v>5.43</v>
      </c>
      <c r="E321" s="54">
        <v>7.5</v>
      </c>
      <c r="F321" s="54">
        <v>29.4</v>
      </c>
      <c r="G321" s="54">
        <v>193.5</v>
      </c>
      <c r="H321" s="54">
        <v>0.18</v>
      </c>
      <c r="I321" s="55">
        <v>53</v>
      </c>
    </row>
    <row r="322" spans="1:9" ht="140.4">
      <c r="A322" s="27"/>
      <c r="B322" s="30" t="s">
        <v>38</v>
      </c>
      <c r="C322" s="25" t="s">
        <v>176</v>
      </c>
      <c r="D322" s="54">
        <v>5.8</v>
      </c>
      <c r="E322" s="54">
        <v>5</v>
      </c>
      <c r="F322" s="54">
        <v>8</v>
      </c>
      <c r="G322" s="54">
        <v>106</v>
      </c>
      <c r="H322" s="54">
        <v>1.4</v>
      </c>
      <c r="I322" s="55" t="s">
        <v>40</v>
      </c>
    </row>
    <row r="323" spans="1:9">
      <c r="A323" s="27"/>
      <c r="B323" s="30" t="s">
        <v>34</v>
      </c>
      <c r="C323" s="57">
        <f t="shared" ref="C323:H323" si="21">C321+C322</f>
        <v>270</v>
      </c>
      <c r="D323" s="54">
        <f t="shared" si="21"/>
        <v>11.23</v>
      </c>
      <c r="E323" s="54">
        <f t="shared" si="21"/>
        <v>12.5</v>
      </c>
      <c r="F323" s="54">
        <f t="shared" si="21"/>
        <v>37.4</v>
      </c>
      <c r="G323" s="54">
        <f t="shared" si="21"/>
        <v>299.5</v>
      </c>
      <c r="H323" s="54">
        <f t="shared" si="21"/>
        <v>1.5799999999999998</v>
      </c>
      <c r="I323" s="55"/>
    </row>
    <row r="324" spans="1:9">
      <c r="A324" s="33"/>
      <c r="B324" s="148" t="s">
        <v>41</v>
      </c>
      <c r="C324" s="149"/>
      <c r="D324" s="149"/>
      <c r="E324" s="149"/>
      <c r="F324" s="149"/>
      <c r="G324" s="149"/>
      <c r="H324" s="149"/>
      <c r="I324" s="150"/>
    </row>
    <row r="325" spans="1:9">
      <c r="A325" s="33"/>
      <c r="B325" s="30" t="s">
        <v>145</v>
      </c>
      <c r="C325" s="84" t="s">
        <v>108</v>
      </c>
      <c r="D325" s="54">
        <v>7.53</v>
      </c>
      <c r="E325" s="54">
        <v>5.15</v>
      </c>
      <c r="F325" s="54">
        <v>10.75</v>
      </c>
      <c r="G325" s="54">
        <v>120.4</v>
      </c>
      <c r="H325" s="54">
        <v>8.7100000000000009</v>
      </c>
      <c r="I325" s="55">
        <v>71</v>
      </c>
    </row>
    <row r="326" spans="1:9">
      <c r="A326" s="33"/>
      <c r="B326" s="30" t="s">
        <v>146</v>
      </c>
      <c r="C326" s="83">
        <v>30</v>
      </c>
      <c r="D326" s="54">
        <v>0.88</v>
      </c>
      <c r="E326" s="54">
        <v>9.58</v>
      </c>
      <c r="F326" s="54">
        <v>2.82</v>
      </c>
      <c r="G326" s="54">
        <v>97.5</v>
      </c>
      <c r="H326" s="54">
        <v>0.12</v>
      </c>
      <c r="I326" s="55">
        <v>82</v>
      </c>
    </row>
    <row r="327" spans="1:9">
      <c r="A327" s="27">
        <v>22</v>
      </c>
      <c r="B327" s="30" t="s">
        <v>147</v>
      </c>
      <c r="C327" s="83">
        <v>130</v>
      </c>
      <c r="D327" s="54">
        <v>2.2200000000000002</v>
      </c>
      <c r="E327" s="54">
        <v>2.17</v>
      </c>
      <c r="F327" s="54">
        <v>10.57</v>
      </c>
      <c r="G327" s="54">
        <v>169</v>
      </c>
      <c r="H327" s="54">
        <v>11.58</v>
      </c>
      <c r="I327" s="59">
        <v>27</v>
      </c>
    </row>
    <row r="328" spans="1:9">
      <c r="A328" s="27"/>
      <c r="B328" s="30" t="s">
        <v>32</v>
      </c>
      <c r="C328" s="53">
        <v>25</v>
      </c>
      <c r="D328" s="54">
        <v>1.9</v>
      </c>
      <c r="E328" s="54">
        <v>0.2</v>
      </c>
      <c r="F328" s="54">
        <v>12.3</v>
      </c>
      <c r="G328" s="54">
        <v>58.75</v>
      </c>
      <c r="H328" s="54">
        <v>0</v>
      </c>
      <c r="I328" s="55" t="s">
        <v>20</v>
      </c>
    </row>
    <row r="329" spans="1:9" ht="280.8">
      <c r="A329" s="27"/>
      <c r="B329" s="30" t="s">
        <v>44</v>
      </c>
      <c r="C329" s="25" t="s">
        <v>57</v>
      </c>
      <c r="D329" s="54">
        <v>1.2</v>
      </c>
      <c r="E329" s="54">
        <v>0.4</v>
      </c>
      <c r="F329" s="54">
        <v>16.8</v>
      </c>
      <c r="G329" s="54">
        <v>76.8</v>
      </c>
      <c r="H329" s="54">
        <v>8</v>
      </c>
      <c r="I329" s="55">
        <v>76</v>
      </c>
    </row>
    <row r="330" spans="1:9">
      <c r="A330" s="27">
        <v>13</v>
      </c>
      <c r="B330" s="30" t="s">
        <v>73</v>
      </c>
      <c r="C330" s="83">
        <v>200</v>
      </c>
      <c r="D330" s="79">
        <v>2.66</v>
      </c>
      <c r="E330" s="79">
        <v>2.15</v>
      </c>
      <c r="F330" s="79">
        <v>10.93</v>
      </c>
      <c r="G330" s="79">
        <v>72</v>
      </c>
      <c r="H330" s="79">
        <v>1.01</v>
      </c>
      <c r="I330" s="55">
        <v>2</v>
      </c>
    </row>
    <row r="331" spans="1:9">
      <c r="A331" s="33"/>
      <c r="B331" s="30" t="s">
        <v>17</v>
      </c>
      <c r="C331" s="83">
        <f t="shared" ref="C331:H331" si="22">C325+C326+C327+C328+C329+C330</f>
        <v>535</v>
      </c>
      <c r="D331" s="54">
        <f t="shared" si="22"/>
        <v>16.39</v>
      </c>
      <c r="E331" s="54">
        <f t="shared" si="22"/>
        <v>19.649999999999995</v>
      </c>
      <c r="F331" s="54">
        <f t="shared" si="22"/>
        <v>64.169999999999987</v>
      </c>
      <c r="G331" s="54">
        <f t="shared" si="22"/>
        <v>594.44999999999993</v>
      </c>
      <c r="H331" s="54">
        <f t="shared" si="22"/>
        <v>29.42</v>
      </c>
      <c r="I331" s="56"/>
    </row>
    <row r="332" spans="1:9">
      <c r="A332" s="14"/>
      <c r="B332" s="30"/>
      <c r="C332" s="84"/>
      <c r="D332" s="60" t="s">
        <v>7</v>
      </c>
      <c r="E332" s="61" t="s">
        <v>8</v>
      </c>
      <c r="F332" s="61" t="s">
        <v>9</v>
      </c>
      <c r="G332" s="62" t="s">
        <v>46</v>
      </c>
      <c r="H332" s="61" t="s">
        <v>47</v>
      </c>
      <c r="I332" s="55"/>
    </row>
    <row r="333" spans="1:9">
      <c r="A333" s="14"/>
      <c r="B333" s="63" t="s">
        <v>148</v>
      </c>
      <c r="C333" s="84"/>
      <c r="D333" s="54">
        <f>SUM(D306+D309+D319+D331+D323)</f>
        <v>68.960000000000008</v>
      </c>
      <c r="E333" s="54">
        <f>SUM(E306+E309+E319+E331+E323)</f>
        <v>76.16</v>
      </c>
      <c r="F333" s="54">
        <f>SUM(F306+F309+F319+F331+F323)</f>
        <v>241.85999999999999</v>
      </c>
      <c r="G333" s="54">
        <f>SUM(G306+G309+G319+G331+G323)</f>
        <v>2041.5900000000001</v>
      </c>
      <c r="H333" s="54">
        <f>SUM(H306+H309+H319+H331+H323)</f>
        <v>64.16</v>
      </c>
      <c r="I333" s="55"/>
    </row>
    <row r="334" spans="1:9">
      <c r="A334" s="14"/>
      <c r="B334" s="63" t="s">
        <v>49</v>
      </c>
      <c r="C334" s="84"/>
      <c r="D334" s="54">
        <v>54</v>
      </c>
      <c r="E334" s="54">
        <v>60</v>
      </c>
      <c r="F334" s="54">
        <v>261</v>
      </c>
      <c r="G334" s="54">
        <v>1800</v>
      </c>
      <c r="H334" s="54">
        <v>50</v>
      </c>
      <c r="I334" s="55"/>
    </row>
    <row r="335" spans="1:9" ht="139.19999999999999">
      <c r="A335" s="109"/>
      <c r="B335" s="64" t="s">
        <v>50</v>
      </c>
      <c r="C335" s="81"/>
      <c r="D335" s="65">
        <f>D333*100/D334</f>
        <v>127.70370370370372</v>
      </c>
      <c r="E335" s="65">
        <f>E333*100/E334</f>
        <v>126.93333333333334</v>
      </c>
      <c r="F335" s="65">
        <f>F333*100/F334</f>
        <v>92.666666666666671</v>
      </c>
      <c r="G335" s="65">
        <f>G333*100/G334</f>
        <v>113.42166666666667</v>
      </c>
      <c r="H335" s="65">
        <f>H333*100/H334</f>
        <v>128.32</v>
      </c>
      <c r="I335" s="56"/>
    </row>
    <row r="336" spans="1:9">
      <c r="A336" s="35"/>
      <c r="B336" s="71" t="s">
        <v>51</v>
      </c>
      <c r="C336" s="71"/>
      <c r="D336" s="71"/>
      <c r="E336" s="69"/>
      <c r="F336" s="69"/>
      <c r="G336" s="69"/>
      <c r="H336" s="69"/>
      <c r="I336" s="70"/>
    </row>
    <row r="337" spans="1:9">
      <c r="A337" s="35"/>
      <c r="B337" s="71" t="s">
        <v>181</v>
      </c>
      <c r="C337" s="72"/>
      <c r="D337" s="71"/>
      <c r="E337" s="71"/>
      <c r="F337" s="71"/>
      <c r="G337" s="71"/>
      <c r="H337" s="71"/>
      <c r="I337" s="70"/>
    </row>
    <row r="338" spans="1:9">
      <c r="A338" s="153" t="s">
        <v>0</v>
      </c>
      <c r="B338" s="145" t="s">
        <v>1</v>
      </c>
      <c r="C338" s="176" t="s">
        <v>2</v>
      </c>
      <c r="D338" s="145" t="s">
        <v>3</v>
      </c>
      <c r="E338" s="146"/>
      <c r="F338" s="147"/>
      <c r="G338" s="145" t="s">
        <v>4</v>
      </c>
      <c r="H338" s="145" t="s">
        <v>5</v>
      </c>
      <c r="I338" s="141" t="s">
        <v>6</v>
      </c>
    </row>
    <row r="339" spans="1:9">
      <c r="A339" s="153"/>
      <c r="B339" s="151"/>
      <c r="C339" s="175"/>
      <c r="D339" s="60" t="s">
        <v>7</v>
      </c>
      <c r="E339" s="61" t="s">
        <v>8</v>
      </c>
      <c r="F339" s="61" t="s">
        <v>9</v>
      </c>
      <c r="G339" s="151"/>
      <c r="H339" s="151"/>
      <c r="I339" s="142"/>
    </row>
    <row r="340" spans="1:9">
      <c r="A340" s="49"/>
      <c r="B340" s="93" t="s">
        <v>149</v>
      </c>
      <c r="C340" s="105"/>
      <c r="D340" s="105"/>
      <c r="E340" s="105"/>
      <c r="F340" s="105"/>
      <c r="G340" s="105"/>
      <c r="H340" s="105"/>
      <c r="I340" s="106"/>
    </row>
    <row r="341" spans="1:9">
      <c r="A341" s="49"/>
      <c r="B341" s="145" t="s">
        <v>11</v>
      </c>
      <c r="C341" s="146"/>
      <c r="D341" s="146"/>
      <c r="E341" s="146"/>
      <c r="F341" s="146"/>
      <c r="G341" s="146"/>
      <c r="H341" s="146"/>
      <c r="I341" s="147"/>
    </row>
    <row r="342" spans="1:9" ht="140.4">
      <c r="A342" s="27">
        <v>68</v>
      </c>
      <c r="B342" s="58" t="s">
        <v>150</v>
      </c>
      <c r="C342" s="84" t="s">
        <v>176</v>
      </c>
      <c r="D342" s="79">
        <v>6.96</v>
      </c>
      <c r="E342" s="79">
        <v>7.04</v>
      </c>
      <c r="F342" s="79">
        <v>26.59</v>
      </c>
      <c r="G342" s="79">
        <v>197.33</v>
      </c>
      <c r="H342" s="79">
        <v>1.96</v>
      </c>
      <c r="I342" s="59">
        <v>68</v>
      </c>
    </row>
    <row r="343" spans="1:9">
      <c r="A343" s="14">
        <v>15</v>
      </c>
      <c r="B343" s="30" t="s">
        <v>73</v>
      </c>
      <c r="C343" s="83">
        <v>200</v>
      </c>
      <c r="D343" s="79">
        <v>2.66</v>
      </c>
      <c r="E343" s="79">
        <v>2.15</v>
      </c>
      <c r="F343" s="79">
        <v>10.93</v>
      </c>
      <c r="G343" s="79">
        <v>72</v>
      </c>
      <c r="H343" s="79">
        <v>1.01</v>
      </c>
      <c r="I343" s="55">
        <v>2</v>
      </c>
    </row>
    <row r="344" spans="1:9" ht="140.4">
      <c r="A344" s="14">
        <v>16</v>
      </c>
      <c r="B344" s="30" t="s">
        <v>122</v>
      </c>
      <c r="C344" s="25" t="s">
        <v>193</v>
      </c>
      <c r="D344" s="54">
        <v>2.98</v>
      </c>
      <c r="E344" s="54">
        <v>1.47</v>
      </c>
      <c r="F344" s="54">
        <v>20.62</v>
      </c>
      <c r="G344" s="54">
        <v>108</v>
      </c>
      <c r="H344" s="54">
        <v>0.15</v>
      </c>
      <c r="I344" s="55">
        <v>90</v>
      </c>
    </row>
    <row r="345" spans="1:9" s="48" customFormat="1">
      <c r="A345" s="14"/>
      <c r="B345" s="30" t="s">
        <v>17</v>
      </c>
      <c r="C345" s="84" t="s">
        <v>194</v>
      </c>
      <c r="D345" s="54">
        <f>SUM(D342:D344)</f>
        <v>12.600000000000001</v>
      </c>
      <c r="E345" s="54">
        <f>SUM(E342:E344)</f>
        <v>10.66</v>
      </c>
      <c r="F345" s="54">
        <f>SUM(F342:F344)</f>
        <v>58.14</v>
      </c>
      <c r="G345" s="54">
        <f>SUM(G342:G344)</f>
        <v>377.33000000000004</v>
      </c>
      <c r="H345" s="54">
        <f>SUM(H342:H344)</f>
        <v>3.1199999999999997</v>
      </c>
      <c r="I345" s="55"/>
    </row>
    <row r="346" spans="1:9">
      <c r="A346" s="39"/>
      <c r="B346" s="145" t="s">
        <v>19</v>
      </c>
      <c r="C346" s="146"/>
      <c r="D346" s="146"/>
      <c r="E346" s="146"/>
      <c r="F346" s="146"/>
      <c r="G346" s="146"/>
      <c r="H346" s="146"/>
      <c r="I346" s="147"/>
    </row>
    <row r="347" spans="1:9">
      <c r="A347" s="14" t="s">
        <v>20</v>
      </c>
      <c r="B347" s="30" t="s">
        <v>21</v>
      </c>
      <c r="C347" s="77" t="s">
        <v>13</v>
      </c>
      <c r="D347" s="54">
        <v>0.3</v>
      </c>
      <c r="E347" s="54">
        <v>0.15</v>
      </c>
      <c r="F347" s="54">
        <v>15.15</v>
      </c>
      <c r="G347" s="54">
        <v>69</v>
      </c>
      <c r="H347" s="54">
        <v>3</v>
      </c>
      <c r="I347" s="55" t="s">
        <v>20</v>
      </c>
    </row>
    <row r="348" spans="1:9">
      <c r="A348" s="14"/>
      <c r="B348" s="30" t="s">
        <v>17</v>
      </c>
      <c r="C348" s="53" t="str">
        <f t="shared" ref="C348:H348" si="23">C347</f>
        <v>150</v>
      </c>
      <c r="D348" s="54">
        <f t="shared" si="23"/>
        <v>0.3</v>
      </c>
      <c r="E348" s="54">
        <f t="shared" si="23"/>
        <v>0.15</v>
      </c>
      <c r="F348" s="54">
        <f t="shared" si="23"/>
        <v>15.15</v>
      </c>
      <c r="G348" s="54">
        <f t="shared" si="23"/>
        <v>69</v>
      </c>
      <c r="H348" s="54">
        <f t="shared" si="23"/>
        <v>3</v>
      </c>
      <c r="I348" s="55"/>
    </row>
    <row r="349" spans="1:9">
      <c r="A349" s="49"/>
      <c r="B349" s="145" t="s">
        <v>24</v>
      </c>
      <c r="C349" s="146"/>
      <c r="D349" s="146"/>
      <c r="E349" s="146"/>
      <c r="F349" s="146"/>
      <c r="G349" s="146"/>
      <c r="H349" s="146"/>
      <c r="I349" s="147"/>
    </row>
    <row r="350" spans="1:9">
      <c r="A350" s="27">
        <v>66</v>
      </c>
      <c r="B350" s="30" t="s">
        <v>125</v>
      </c>
      <c r="C350" s="77" t="s">
        <v>69</v>
      </c>
      <c r="D350" s="54">
        <v>2.87</v>
      </c>
      <c r="E350" s="54">
        <v>5.6</v>
      </c>
      <c r="F350" s="54">
        <v>3.23</v>
      </c>
      <c r="G350" s="54">
        <v>76</v>
      </c>
      <c r="H350" s="54">
        <v>4.4000000000000004</v>
      </c>
      <c r="I350" s="59">
        <v>86</v>
      </c>
    </row>
    <row r="351" spans="1:9" ht="140.4">
      <c r="A351" s="14">
        <v>46</v>
      </c>
      <c r="B351" s="30" t="s">
        <v>151</v>
      </c>
      <c r="C351" s="84" t="s">
        <v>182</v>
      </c>
      <c r="D351" s="54">
        <v>4.16</v>
      </c>
      <c r="E351" s="54">
        <v>6.61</v>
      </c>
      <c r="F351" s="54">
        <v>14.33</v>
      </c>
      <c r="G351" s="54">
        <v>135</v>
      </c>
      <c r="H351" s="54">
        <v>10.4</v>
      </c>
      <c r="I351" s="55">
        <v>57</v>
      </c>
    </row>
    <row r="352" spans="1:9" ht="140.4">
      <c r="A352" s="27">
        <v>29</v>
      </c>
      <c r="B352" s="30" t="s">
        <v>152</v>
      </c>
      <c r="C352" s="53">
        <v>80</v>
      </c>
      <c r="D352" s="54">
        <v>10.41</v>
      </c>
      <c r="E352" s="54">
        <v>9.4700000000000006</v>
      </c>
      <c r="F352" s="54">
        <v>2.5299999999999998</v>
      </c>
      <c r="G352" s="54">
        <v>138.66999999999999</v>
      </c>
      <c r="H352" s="54">
        <v>0.15</v>
      </c>
      <c r="I352" s="55">
        <v>85</v>
      </c>
    </row>
    <row r="353" spans="1:9">
      <c r="A353" s="27">
        <v>8</v>
      </c>
      <c r="B353" s="30" t="s">
        <v>115</v>
      </c>
      <c r="C353" s="83">
        <v>150</v>
      </c>
      <c r="D353" s="54">
        <v>0.69</v>
      </c>
      <c r="E353" s="54">
        <v>0</v>
      </c>
      <c r="F353" s="54">
        <v>28.28</v>
      </c>
      <c r="G353" s="54">
        <v>120</v>
      </c>
      <c r="H353" s="54">
        <v>0.63</v>
      </c>
      <c r="I353" s="59">
        <v>8</v>
      </c>
    </row>
    <row r="354" spans="1:9">
      <c r="A354" s="14">
        <v>20</v>
      </c>
      <c r="B354" s="30" t="s">
        <v>116</v>
      </c>
      <c r="C354" s="53">
        <v>200</v>
      </c>
      <c r="D354" s="54">
        <v>0.16</v>
      </c>
      <c r="E354" s="54">
        <v>0.16</v>
      </c>
      <c r="F354" s="54">
        <v>10.91</v>
      </c>
      <c r="G354" s="54">
        <v>47</v>
      </c>
      <c r="H354" s="54">
        <v>4</v>
      </c>
      <c r="I354" s="55">
        <v>54</v>
      </c>
    </row>
    <row r="355" spans="1:9">
      <c r="A355" s="14" t="s">
        <v>20</v>
      </c>
      <c r="B355" s="30" t="s">
        <v>32</v>
      </c>
      <c r="C355" s="53">
        <v>30</v>
      </c>
      <c r="D355" s="54">
        <v>2.2799999999999998</v>
      </c>
      <c r="E355" s="54">
        <v>0.24</v>
      </c>
      <c r="F355" s="54">
        <v>14.76</v>
      </c>
      <c r="G355" s="54">
        <v>70.5</v>
      </c>
      <c r="H355" s="54">
        <v>0</v>
      </c>
      <c r="I355" s="55" t="s">
        <v>20</v>
      </c>
    </row>
    <row r="356" spans="1:9">
      <c r="A356" s="14" t="s">
        <v>20</v>
      </c>
      <c r="B356" s="30" t="s">
        <v>33</v>
      </c>
      <c r="C356" s="53">
        <v>50</v>
      </c>
      <c r="D356" s="54">
        <v>3.3</v>
      </c>
      <c r="E356" s="54">
        <v>0.6</v>
      </c>
      <c r="F356" s="54">
        <v>17</v>
      </c>
      <c r="G356" s="54">
        <v>90.5</v>
      </c>
      <c r="H356" s="54">
        <v>0</v>
      </c>
      <c r="I356" s="55" t="s">
        <v>20</v>
      </c>
    </row>
    <row r="357" spans="1:9">
      <c r="A357" s="27"/>
      <c r="B357" s="58" t="s">
        <v>34</v>
      </c>
      <c r="C357" s="83">
        <v>766</v>
      </c>
      <c r="D357" s="79">
        <f>SUM(D350:D356)</f>
        <v>23.870000000000005</v>
      </c>
      <c r="E357" s="79">
        <f>SUM(E350:E356)</f>
        <v>22.68</v>
      </c>
      <c r="F357" s="79">
        <f>SUM(F350:F356)</f>
        <v>91.04</v>
      </c>
      <c r="G357" s="79">
        <f>SUM(G350:G356)</f>
        <v>677.67</v>
      </c>
      <c r="H357" s="79">
        <f>SUM(H350:H356)</f>
        <v>19.580000000000002</v>
      </c>
      <c r="I357" s="59"/>
    </row>
    <row r="358" spans="1:9">
      <c r="A358" s="14"/>
      <c r="B358" s="148" t="s">
        <v>35</v>
      </c>
      <c r="C358" s="149"/>
      <c r="D358" s="149"/>
      <c r="E358" s="149"/>
      <c r="F358" s="149"/>
      <c r="G358" s="149"/>
      <c r="H358" s="149"/>
      <c r="I358" s="150"/>
    </row>
    <row r="359" spans="1:9" ht="140.4">
      <c r="A359" s="14"/>
      <c r="B359" s="85" t="s">
        <v>153</v>
      </c>
      <c r="C359" s="25" t="s">
        <v>83</v>
      </c>
      <c r="D359" s="54">
        <v>3.09</v>
      </c>
      <c r="E359" s="54">
        <v>0.32</v>
      </c>
      <c r="F359" s="54">
        <v>26.56</v>
      </c>
      <c r="G359" s="54">
        <v>120</v>
      </c>
      <c r="H359" s="54">
        <v>0.02</v>
      </c>
      <c r="I359" s="55">
        <v>87</v>
      </c>
    </row>
    <row r="360" spans="1:9" ht="140.4">
      <c r="A360" s="14"/>
      <c r="B360" s="30" t="s">
        <v>38</v>
      </c>
      <c r="C360" s="25" t="s">
        <v>176</v>
      </c>
      <c r="D360" s="54">
        <v>5.8</v>
      </c>
      <c r="E360" s="54">
        <v>5</v>
      </c>
      <c r="F360" s="54">
        <v>8</v>
      </c>
      <c r="G360" s="54">
        <v>106</v>
      </c>
      <c r="H360" s="54">
        <v>1.4</v>
      </c>
      <c r="I360" s="55" t="s">
        <v>40</v>
      </c>
    </row>
    <row r="361" spans="1:9">
      <c r="A361" s="14"/>
      <c r="B361" s="30" t="s">
        <v>34</v>
      </c>
      <c r="C361" s="57">
        <f t="shared" ref="C361:H361" si="24">C359+C360</f>
        <v>250</v>
      </c>
      <c r="D361" s="54">
        <f t="shared" si="24"/>
        <v>8.89</v>
      </c>
      <c r="E361" s="54">
        <f t="shared" si="24"/>
        <v>5.32</v>
      </c>
      <c r="F361" s="54">
        <f t="shared" si="24"/>
        <v>34.56</v>
      </c>
      <c r="G361" s="54">
        <f t="shared" si="24"/>
        <v>226</v>
      </c>
      <c r="H361" s="54">
        <f t="shared" si="24"/>
        <v>1.42</v>
      </c>
      <c r="I361" s="55"/>
    </row>
    <row r="362" spans="1:9">
      <c r="A362" s="6"/>
      <c r="B362" s="148" t="s">
        <v>41</v>
      </c>
      <c r="C362" s="149"/>
      <c r="D362" s="149"/>
      <c r="E362" s="149"/>
      <c r="F362" s="149"/>
      <c r="G362" s="149"/>
      <c r="H362" s="149"/>
      <c r="I362" s="150"/>
    </row>
    <row r="363" spans="1:9">
      <c r="A363" s="14">
        <v>49</v>
      </c>
      <c r="B363" s="30" t="s">
        <v>109</v>
      </c>
      <c r="C363" s="25" t="s">
        <v>110</v>
      </c>
      <c r="D363" s="54">
        <v>9.65</v>
      </c>
      <c r="E363" s="54">
        <v>9.8000000000000007</v>
      </c>
      <c r="F363" s="54">
        <v>12.06</v>
      </c>
      <c r="G363" s="54">
        <v>187</v>
      </c>
      <c r="H363" s="54">
        <v>33.22</v>
      </c>
      <c r="I363" s="55">
        <v>60</v>
      </c>
    </row>
    <row r="364" spans="1:9">
      <c r="A364" s="27" t="s">
        <v>20</v>
      </c>
      <c r="B364" s="30" t="s">
        <v>32</v>
      </c>
      <c r="C364" s="53">
        <v>25</v>
      </c>
      <c r="D364" s="54">
        <v>1.9</v>
      </c>
      <c r="E364" s="54">
        <v>0.2</v>
      </c>
      <c r="F364" s="54">
        <v>12.3</v>
      </c>
      <c r="G364" s="54">
        <v>58.75</v>
      </c>
      <c r="H364" s="54">
        <v>0</v>
      </c>
      <c r="I364" s="55" t="s">
        <v>20</v>
      </c>
    </row>
    <row r="365" spans="1:9" ht="280.8">
      <c r="A365" s="27"/>
      <c r="B365" s="30" t="s">
        <v>44</v>
      </c>
      <c r="C365" s="25" t="s">
        <v>57</v>
      </c>
      <c r="D365" s="54">
        <v>1.2</v>
      </c>
      <c r="E365" s="54">
        <v>0.4</v>
      </c>
      <c r="F365" s="54">
        <v>16.8</v>
      </c>
      <c r="G365" s="54">
        <v>76.8</v>
      </c>
      <c r="H365" s="54">
        <v>8</v>
      </c>
      <c r="I365" s="55">
        <v>76</v>
      </c>
    </row>
    <row r="366" spans="1:9">
      <c r="A366" s="47">
        <v>59</v>
      </c>
      <c r="B366" s="20" t="s">
        <v>14</v>
      </c>
      <c r="C366" s="50">
        <v>200</v>
      </c>
      <c r="D366" s="17">
        <v>0</v>
      </c>
      <c r="E366" s="17">
        <v>0</v>
      </c>
      <c r="F366" s="17">
        <v>6.99</v>
      </c>
      <c r="G366" s="17">
        <v>28</v>
      </c>
      <c r="H366" s="17">
        <v>0</v>
      </c>
      <c r="I366" s="22">
        <v>13</v>
      </c>
    </row>
    <row r="367" spans="1:9">
      <c r="A367" s="14"/>
      <c r="B367" s="23" t="s">
        <v>34</v>
      </c>
      <c r="C367" s="50">
        <f t="shared" ref="C367:H367" si="25">C363+C364+C365+C366</f>
        <v>555</v>
      </c>
      <c r="D367" s="17">
        <f t="shared" si="25"/>
        <v>12.75</v>
      </c>
      <c r="E367" s="17">
        <f t="shared" si="25"/>
        <v>10.4</v>
      </c>
      <c r="F367" s="17">
        <f t="shared" si="25"/>
        <v>48.15</v>
      </c>
      <c r="G367" s="17">
        <f t="shared" si="25"/>
        <v>350.55</v>
      </c>
      <c r="H367" s="17">
        <f t="shared" si="25"/>
        <v>41.22</v>
      </c>
      <c r="I367" s="19"/>
    </row>
    <row r="368" spans="1:9">
      <c r="A368" s="14"/>
      <c r="B368" s="23"/>
      <c r="C368" s="46"/>
      <c r="D368" s="9" t="s">
        <v>7</v>
      </c>
      <c r="E368" s="7" t="s">
        <v>8</v>
      </c>
      <c r="F368" s="7" t="s">
        <v>9</v>
      </c>
      <c r="G368" s="31" t="s">
        <v>46</v>
      </c>
      <c r="H368" s="7" t="s">
        <v>47</v>
      </c>
      <c r="I368" s="19"/>
    </row>
    <row r="369" spans="1:22">
      <c r="A369" s="14"/>
      <c r="B369" s="32" t="s">
        <v>155</v>
      </c>
      <c r="C369" s="46"/>
      <c r="D369" s="17">
        <f>SUM(D345+D348+D357+D367+D361)</f>
        <v>58.410000000000011</v>
      </c>
      <c r="E369" s="17">
        <f>SUM(E345+E348+E357+E367+E361)</f>
        <v>49.21</v>
      </c>
      <c r="F369" s="17">
        <f>SUM(F345+F348+F357+F367+F361)</f>
        <v>247.04000000000002</v>
      </c>
      <c r="G369" s="17">
        <f>SUM(G345+G348+G357+G367+G361)</f>
        <v>1700.55</v>
      </c>
      <c r="H369" s="17">
        <f>SUM(H345+H348+H357+H367+H361)</f>
        <v>68.34</v>
      </c>
      <c r="I369" s="19"/>
    </row>
    <row r="370" spans="1:22">
      <c r="A370" s="86"/>
      <c r="B370" s="110" t="s">
        <v>49</v>
      </c>
      <c r="C370" s="111"/>
      <c r="D370" s="112">
        <v>54</v>
      </c>
      <c r="E370" s="112">
        <v>60</v>
      </c>
      <c r="F370" s="112">
        <v>261</v>
      </c>
      <c r="G370" s="112">
        <v>1800</v>
      </c>
      <c r="H370" s="112">
        <v>50</v>
      </c>
      <c r="I370" s="113"/>
    </row>
    <row r="371" spans="1:22" ht="139.19999999999999">
      <c r="A371" s="33"/>
      <c r="B371" s="34" t="s">
        <v>50</v>
      </c>
      <c r="C371" s="42"/>
      <c r="D371" s="18">
        <f>D369*100/D370</f>
        <v>108.16666666666669</v>
      </c>
      <c r="E371" s="18">
        <f>E369*100/E370</f>
        <v>82.016666666666666</v>
      </c>
      <c r="F371" s="18">
        <f>F369*100/F370</f>
        <v>94.651340996168599</v>
      </c>
      <c r="G371" s="18">
        <f>G369*100/G370</f>
        <v>94.474999999999994</v>
      </c>
      <c r="H371" s="18">
        <f>H369*100/H370</f>
        <v>136.68</v>
      </c>
      <c r="I371" s="8"/>
    </row>
    <row r="372" spans="1:22">
      <c r="A372" s="35"/>
      <c r="B372" s="36"/>
      <c r="C372" s="37"/>
      <c r="D372" s="38"/>
      <c r="E372" s="38"/>
      <c r="F372" s="38"/>
      <c r="G372" s="38"/>
      <c r="H372" s="38"/>
      <c r="I372" s="35"/>
    </row>
    <row r="373" spans="1:22">
      <c r="A373" s="35"/>
      <c r="B373" s="1" t="s">
        <v>51</v>
      </c>
      <c r="C373" s="1"/>
      <c r="E373" s="38"/>
      <c r="F373" s="38"/>
      <c r="G373" s="38"/>
      <c r="H373" s="38"/>
      <c r="I373" s="35"/>
    </row>
    <row r="374" spans="1:22">
      <c r="A374" s="35"/>
      <c r="B374" s="1" t="s">
        <v>181</v>
      </c>
      <c r="I374" s="35"/>
    </row>
    <row r="375" spans="1:22">
      <c r="A375" s="35"/>
      <c r="B375" s="35"/>
      <c r="C375" s="35"/>
      <c r="D375" s="35"/>
      <c r="E375" s="35"/>
      <c r="F375" s="35"/>
      <c r="G375" s="35"/>
      <c r="H375" s="35"/>
      <c r="I375" s="35"/>
    </row>
    <row r="376" spans="1:22" ht="161.25" customHeight="1">
      <c r="A376" s="114"/>
      <c r="B376" s="154" t="s">
        <v>199</v>
      </c>
      <c r="C376" s="163"/>
      <c r="D376" s="163"/>
      <c r="E376" s="163"/>
      <c r="F376" s="163"/>
      <c r="G376" s="163"/>
      <c r="H376" s="163"/>
      <c r="I376" s="164"/>
    </row>
    <row r="377" spans="1:22">
      <c r="A377" s="152"/>
      <c r="B377" s="154"/>
      <c r="C377" s="180"/>
      <c r="D377" s="155" t="s">
        <v>3</v>
      </c>
      <c r="E377" s="183"/>
      <c r="F377" s="182"/>
      <c r="G377" s="154" t="s">
        <v>4</v>
      </c>
      <c r="H377" s="154" t="s">
        <v>5</v>
      </c>
      <c r="I377" s="180"/>
    </row>
    <row r="378" spans="1:22">
      <c r="A378" s="153"/>
      <c r="B378" s="181"/>
      <c r="C378" s="182"/>
      <c r="D378" s="9" t="s">
        <v>7</v>
      </c>
      <c r="E378" s="7" t="s">
        <v>8</v>
      </c>
      <c r="F378" s="7" t="s">
        <v>9</v>
      </c>
      <c r="G378" s="155"/>
      <c r="H378" s="181"/>
      <c r="I378" s="182"/>
    </row>
    <row r="379" spans="1:22">
      <c r="A379" s="10"/>
      <c r="B379" s="10" t="s">
        <v>157</v>
      </c>
      <c r="C379" s="12"/>
      <c r="D379" s="43">
        <f>SUM(D31+D71+D108+D146+D183+D220+D256+D293+D333+D369)</f>
        <v>682.08</v>
      </c>
      <c r="E379" s="43">
        <f>SUM(E31+E71+E108+E146+E183+E220+E256+E293+E333+E369)</f>
        <v>638.92999999999995</v>
      </c>
      <c r="F379" s="43">
        <f>SUM(F31+F71+F108+F146+F183+F220+F256+F293+F333+F369)</f>
        <v>2589.06</v>
      </c>
      <c r="G379" s="43">
        <f>SUM(G31+G71+G108+G146+G183+G220+G256+G293+G333+G369)</f>
        <v>19001.57</v>
      </c>
      <c r="H379" s="178">
        <f>SUM(H31+H71+H108+H146+H183+H220+H256+H293+H333+H369)</f>
        <v>775.00999999999988</v>
      </c>
      <c r="I379" s="179"/>
    </row>
    <row r="380" spans="1:22">
      <c r="A380" s="10"/>
      <c r="B380" s="10" t="s">
        <v>158</v>
      </c>
      <c r="C380" s="12"/>
      <c r="D380" s="17">
        <f>D379/10</f>
        <v>68.207999999999998</v>
      </c>
      <c r="E380" s="17">
        <f>E379/10</f>
        <v>63.892999999999994</v>
      </c>
      <c r="F380" s="17">
        <f>F379/10</f>
        <v>258.90600000000001</v>
      </c>
      <c r="G380" s="17">
        <f>G379/10</f>
        <v>1900.1569999999999</v>
      </c>
      <c r="H380" s="178">
        <f>H379/10</f>
        <v>77.500999999999991</v>
      </c>
      <c r="I380" s="179"/>
    </row>
    <row r="381" spans="1:22">
      <c r="A381" s="10"/>
      <c r="B381" s="10" t="s">
        <v>159</v>
      </c>
      <c r="C381" s="12"/>
      <c r="D381" s="17">
        <v>54</v>
      </c>
      <c r="E381" s="17">
        <v>60</v>
      </c>
      <c r="F381" s="17">
        <v>261</v>
      </c>
      <c r="G381" s="17">
        <v>1800</v>
      </c>
      <c r="H381" s="178">
        <v>50</v>
      </c>
      <c r="I381" s="179"/>
    </row>
    <row r="382" spans="1:22" s="92" customFormat="1" ht="139.19999999999999">
      <c r="A382" s="10"/>
      <c r="B382" s="10" t="s">
        <v>50</v>
      </c>
      <c r="C382" s="12"/>
      <c r="D382" s="17">
        <f>D380*100/D381</f>
        <v>126.31111111111112</v>
      </c>
      <c r="E382" s="17">
        <f>E380*100/E381</f>
        <v>106.48833333333332</v>
      </c>
      <c r="F382" s="17">
        <f>F380*100/F381</f>
        <v>99.197701149425299</v>
      </c>
      <c r="G382" s="17">
        <f>G380*100/G381</f>
        <v>105.56427777777776</v>
      </c>
      <c r="H382" s="178">
        <f>H380*100/H381</f>
        <v>155.00199999999998</v>
      </c>
      <c r="I382" s="17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>
      <c r="A383" s="36"/>
      <c r="B383" s="36"/>
      <c r="C383" s="36"/>
      <c r="D383" s="38"/>
      <c r="E383" s="38"/>
      <c r="F383" s="38"/>
      <c r="G383" s="38"/>
      <c r="H383" s="38"/>
      <c r="I383" s="36"/>
    </row>
    <row r="384" spans="1:22">
      <c r="B384" s="1"/>
      <c r="I384" s="2"/>
    </row>
    <row r="385" spans="1:12">
      <c r="A385" s="1"/>
      <c r="B385" s="1"/>
      <c r="I385" s="2"/>
    </row>
    <row r="386" spans="1:12" hidden="1">
      <c r="A386" s="1"/>
      <c r="B386" s="1"/>
      <c r="D386" s="4"/>
      <c r="E386" s="115" t="s">
        <v>160</v>
      </c>
      <c r="F386" s="115" t="s">
        <v>161</v>
      </c>
      <c r="G386" s="115" t="s">
        <v>162</v>
      </c>
      <c r="H386" s="115" t="s">
        <v>163</v>
      </c>
      <c r="I386" s="115" t="s">
        <v>164</v>
      </c>
    </row>
    <row r="387" spans="1:12" hidden="1">
      <c r="A387" s="1"/>
      <c r="B387" s="1"/>
      <c r="D387" s="4"/>
      <c r="E387" s="115">
        <v>20</v>
      </c>
      <c r="F387" s="115">
        <v>5</v>
      </c>
      <c r="G387" s="115">
        <v>35</v>
      </c>
      <c r="H387" s="115">
        <v>15</v>
      </c>
      <c r="I387" s="115">
        <v>25</v>
      </c>
    </row>
    <row r="388" spans="1:12" hidden="1">
      <c r="A388" s="1"/>
      <c r="B388" s="1"/>
      <c r="D388" s="116" t="s">
        <v>165</v>
      </c>
      <c r="E388" s="115">
        <f>G270*100/G293</f>
        <v>23.797548464459393</v>
      </c>
      <c r="F388" s="115">
        <f>G273*100/G293</f>
        <v>3.7750094375235941</v>
      </c>
      <c r="G388" s="115">
        <f>G282*100/G293</f>
        <v>35.029311837985482</v>
      </c>
      <c r="H388" s="115">
        <f>G286*100/G293</f>
        <v>13.022117114116314</v>
      </c>
      <c r="I388" s="115">
        <f>G291*100/G293</f>
        <v>24.37601314591522</v>
      </c>
      <c r="L388" s="1">
        <f t="shared" ref="L388:L401" si="26">E388+F388+G388+H388+I388</f>
        <v>100</v>
      </c>
    </row>
    <row r="389" spans="1:12" hidden="1">
      <c r="A389" s="1"/>
      <c r="B389" s="1"/>
      <c r="D389" s="116" t="s">
        <v>166</v>
      </c>
      <c r="E389" s="115">
        <f>G197*100/G220</f>
        <v>18.251112165936259</v>
      </c>
      <c r="F389" s="115">
        <f>G200*100/G220</f>
        <v>3.8084094095309586</v>
      </c>
      <c r="G389" s="115">
        <f>G209*100/G220</f>
        <v>34.625616796741326</v>
      </c>
      <c r="H389" s="115">
        <f>G213*100/G220</f>
        <v>12.946936162227201</v>
      </c>
      <c r="I389" s="115">
        <f>G218*100/G220</f>
        <v>30.367925465564255</v>
      </c>
      <c r="L389" s="1">
        <f t="shared" si="26"/>
        <v>100</v>
      </c>
    </row>
    <row r="390" spans="1:12" hidden="1">
      <c r="A390" s="1"/>
      <c r="B390" s="1"/>
      <c r="D390" s="116" t="s">
        <v>167</v>
      </c>
      <c r="E390" s="115">
        <f>G159*100/G183</f>
        <v>18.10101996196752</v>
      </c>
      <c r="F390" s="115">
        <f>G162*100/G183</f>
        <v>3.5083437566734799</v>
      </c>
      <c r="G390" s="115">
        <f>G171*100/G183</f>
        <v>42.541973011175855</v>
      </c>
      <c r="H390" s="115">
        <f>G175*100/G183</f>
        <v>18.024751619431139</v>
      </c>
      <c r="I390" s="115">
        <f>G181*100/G183</f>
        <v>17.823911650752006</v>
      </c>
      <c r="L390" s="1">
        <f t="shared" si="26"/>
        <v>100</v>
      </c>
    </row>
    <row r="391" spans="1:12" hidden="1">
      <c r="A391" s="1"/>
      <c r="B391" s="1"/>
      <c r="D391" s="116" t="s">
        <v>168</v>
      </c>
      <c r="E391" s="115">
        <f>G233*100/G256</f>
        <v>19.1582178081247</v>
      </c>
      <c r="F391" s="115">
        <f>G236*100/G256</f>
        <v>3.9083155160125984</v>
      </c>
      <c r="G391" s="115">
        <f>G244*100/G256</f>
        <v>36.33583925328184</v>
      </c>
      <c r="H391" s="115">
        <f>G248*100/G256</f>
        <v>22.070487619835848</v>
      </c>
      <c r="I391" s="115">
        <f>G254*100/G256</f>
        <v>18.527139802745019</v>
      </c>
      <c r="L391" s="1">
        <f t="shared" si="26"/>
        <v>100</v>
      </c>
    </row>
    <row r="392" spans="1:12" hidden="1">
      <c r="A392" s="1"/>
      <c r="B392" s="1"/>
      <c r="D392" s="116" t="s">
        <v>169</v>
      </c>
      <c r="E392" s="115">
        <f>G306*100/G333</f>
        <v>22.639217472656114</v>
      </c>
      <c r="F392" s="115">
        <f>G309*100/G333</f>
        <v>3.379718748622397</v>
      </c>
      <c r="G392" s="115">
        <f>G319*100/G333</f>
        <v>30.194113411605663</v>
      </c>
      <c r="H392" s="115">
        <f>G323*100/G333</f>
        <v>14.669938626266781</v>
      </c>
      <c r="I392" s="115">
        <f>G331*100/G333</f>
        <v>29.117011740849037</v>
      </c>
      <c r="L392" s="1">
        <f t="shared" si="26"/>
        <v>100</v>
      </c>
    </row>
    <row r="393" spans="1:12" hidden="1">
      <c r="A393" s="1"/>
      <c r="B393" s="1"/>
      <c r="D393" s="116" t="s">
        <v>34</v>
      </c>
      <c r="E393" s="115">
        <f>E388+E389+E390+E391+E392</f>
        <v>101.94711587314399</v>
      </c>
      <c r="F393" s="115">
        <f>F388+F389+F390+F391+F392</f>
        <v>18.379796868363027</v>
      </c>
      <c r="G393" s="115">
        <f>G388+G389+G390+G391+G392</f>
        <v>178.72685431079017</v>
      </c>
      <c r="H393" s="115">
        <f>H388+H389+H390+H391+H392</f>
        <v>80.734231141877288</v>
      </c>
      <c r="I393" s="115">
        <f>I388+I389+I390+I391+I392</f>
        <v>120.21200180582555</v>
      </c>
      <c r="L393" s="1">
        <f t="shared" si="26"/>
        <v>500</v>
      </c>
    </row>
    <row r="394" spans="1:12" hidden="1">
      <c r="A394" s="1"/>
      <c r="B394" s="1"/>
      <c r="D394" s="116" t="s">
        <v>170</v>
      </c>
      <c r="E394" s="115">
        <f>E393/5</f>
        <v>20.389423174628796</v>
      </c>
      <c r="F394" s="115">
        <f>F393/5</f>
        <v>3.6759593736726055</v>
      </c>
      <c r="G394" s="115">
        <f>G393/5</f>
        <v>35.745370862158033</v>
      </c>
      <c r="H394" s="115">
        <f>H393/5</f>
        <v>16.146846228375459</v>
      </c>
      <c r="I394" s="115">
        <f>I393/5</f>
        <v>24.042400361165111</v>
      </c>
      <c r="L394" s="1">
        <f t="shared" si="26"/>
        <v>100</v>
      </c>
    </row>
    <row r="395" spans="1:12" hidden="1">
      <c r="B395" s="1"/>
      <c r="D395" s="116" t="s">
        <v>171</v>
      </c>
      <c r="E395" s="115">
        <f>G121*100/G146</f>
        <v>17.982378453332256</v>
      </c>
      <c r="F395" s="115">
        <f>G124*100/G146</f>
        <v>3.4919205056705751</v>
      </c>
      <c r="G395" s="115">
        <f>G133*100/G146</f>
        <v>39.099894230233957</v>
      </c>
      <c r="H395" s="115">
        <f>G137*100/G146</f>
        <v>19.281474096528829</v>
      </c>
      <c r="I395" s="115">
        <f>G144*100/G146</f>
        <v>20.144332714234384</v>
      </c>
      <c r="L395" s="1">
        <f t="shared" si="26"/>
        <v>100</v>
      </c>
    </row>
    <row r="396" spans="1:12" hidden="1">
      <c r="B396" s="1"/>
      <c r="D396" s="116" t="s">
        <v>172</v>
      </c>
      <c r="E396" s="115">
        <f>G8*100/G31</f>
        <v>19.971036768665339</v>
      </c>
      <c r="F396" s="115">
        <f>G11*100/G31</f>
        <v>3.5550536656262905</v>
      </c>
      <c r="G396" s="115">
        <f>G19*100/G31</f>
        <v>35.080014847577075</v>
      </c>
      <c r="H396" s="115">
        <f>G23*100/G31</f>
        <v>12.26336674038175</v>
      </c>
      <c r="I396" s="115">
        <f>G29*100/G31</f>
        <v>29.130527977749551</v>
      </c>
      <c r="L396" s="1">
        <f t="shared" si="26"/>
        <v>100.00000000000001</v>
      </c>
    </row>
    <row r="397" spans="1:12" hidden="1">
      <c r="B397" s="1"/>
      <c r="D397" s="116" t="s">
        <v>173</v>
      </c>
      <c r="E397" s="115">
        <f>G345*100/G369</f>
        <v>22.188703654699953</v>
      </c>
      <c r="F397" s="115">
        <f>G348*100/G369</f>
        <v>4.0575108053276878</v>
      </c>
      <c r="G397" s="115">
        <f>G357*100/G369</f>
        <v>39.850048513716153</v>
      </c>
      <c r="H397" s="115">
        <f>G361*100/G369</f>
        <v>13.289818000058805</v>
      </c>
      <c r="I397" s="115">
        <f>G367*100/G369</f>
        <v>20.613919026197408</v>
      </c>
      <c r="L397" s="1">
        <f t="shared" si="26"/>
        <v>100</v>
      </c>
    </row>
    <row r="398" spans="1:12" hidden="1">
      <c r="B398" s="1"/>
      <c r="D398" s="116" t="s">
        <v>174</v>
      </c>
      <c r="E398" s="115">
        <f>G84*100/G108</f>
        <v>18.299257149074652</v>
      </c>
      <c r="F398" s="115">
        <f>G87*100/G108</f>
        <v>3.4125641710436514</v>
      </c>
      <c r="G398" s="115">
        <f>G95*100/G108</f>
        <v>40.421575318753277</v>
      </c>
      <c r="H398" s="115">
        <f>G99*100/G108</f>
        <v>14.258583340751953</v>
      </c>
      <c r="I398" s="115">
        <f>G106*100/G108</f>
        <v>23.608020020376472</v>
      </c>
      <c r="L398" s="1">
        <f t="shared" si="26"/>
        <v>100</v>
      </c>
    </row>
    <row r="399" spans="1:12" hidden="1">
      <c r="B399" s="1"/>
      <c r="D399" s="116" t="s">
        <v>175</v>
      </c>
      <c r="E399" s="115">
        <f>G45*100/G71</f>
        <v>21.54745417716029</v>
      </c>
      <c r="F399" s="115">
        <f>G48*100/G71</f>
        <v>3.4006732347302377</v>
      </c>
      <c r="G399" s="115">
        <f>G57*100/G71</f>
        <v>41.845037727758857</v>
      </c>
      <c r="H399" s="115">
        <f>G61*100/G71</f>
        <v>11.560810444502492</v>
      </c>
      <c r="I399" s="115">
        <f>G69*100/G71</f>
        <v>21.646024415848125</v>
      </c>
      <c r="L399" s="1">
        <f t="shared" si="26"/>
        <v>100</v>
      </c>
    </row>
    <row r="400" spans="1:12" hidden="1">
      <c r="B400" s="1"/>
      <c r="D400" s="116" t="s">
        <v>34</v>
      </c>
      <c r="E400" s="115">
        <f>E395+E396+E397+E398+E399</f>
        <v>99.98883020293249</v>
      </c>
      <c r="F400" s="115">
        <f>F395+F396+F397+F398+F399</f>
        <v>17.917722382398441</v>
      </c>
      <c r="G400" s="115">
        <f>G395+G396+G397+G398+G399</f>
        <v>196.29657063803933</v>
      </c>
      <c r="H400" s="115">
        <f>H395+H396+H397+H398+H399</f>
        <v>70.65405262222383</v>
      </c>
      <c r="I400" s="115">
        <f>I395+I396+I397+I398+I399</f>
        <v>115.14282415440593</v>
      </c>
      <c r="L400" s="1">
        <f t="shared" si="26"/>
        <v>500</v>
      </c>
    </row>
    <row r="401" spans="1:12" hidden="1">
      <c r="B401" s="1"/>
      <c r="D401" s="116" t="s">
        <v>170</v>
      </c>
      <c r="E401" s="115">
        <f>E400/5</f>
        <v>19.997766040586498</v>
      </c>
      <c r="F401" s="115">
        <f>F400/5</f>
        <v>3.5835444764796884</v>
      </c>
      <c r="G401" s="115">
        <f>G400/5</f>
        <v>39.259314127607865</v>
      </c>
      <c r="H401" s="115">
        <f>H400/5</f>
        <v>14.130810524444765</v>
      </c>
      <c r="I401" s="115">
        <f>I400/5</f>
        <v>23.028564830881187</v>
      </c>
      <c r="L401" s="1">
        <f t="shared" si="26"/>
        <v>100</v>
      </c>
    </row>
    <row r="402" spans="1:12" hidden="1">
      <c r="B402" s="1"/>
      <c r="I402" s="2"/>
    </row>
    <row r="403" spans="1:12" hidden="1">
      <c r="B403" s="1"/>
      <c r="I403" s="2"/>
    </row>
    <row r="404" spans="1:12" hidden="1">
      <c r="B404" s="1"/>
      <c r="I404" s="2"/>
    </row>
    <row r="405" spans="1:12" hidden="1">
      <c r="B405" s="1"/>
      <c r="I405" s="2"/>
    </row>
    <row r="406" spans="1:12" hidden="1">
      <c r="B406" s="1"/>
      <c r="I406" s="2"/>
    </row>
    <row r="407" spans="1:12" hidden="1">
      <c r="A407" s="1"/>
      <c r="B407" s="1"/>
      <c r="C407" s="1"/>
      <c r="I407" s="1"/>
      <c r="K407" s="103"/>
    </row>
    <row r="408" spans="1:12" hidden="1">
      <c r="B408" s="1"/>
      <c r="I408" s="2"/>
    </row>
    <row r="409" spans="1:12" hidden="1">
      <c r="B409" s="1"/>
      <c r="I409" s="2"/>
    </row>
    <row r="410" spans="1:12" hidden="1">
      <c r="B410" s="1"/>
      <c r="I410" s="2"/>
    </row>
    <row r="411" spans="1:12" s="48" customFormat="1" hidden="1">
      <c r="A411" s="2"/>
      <c r="B411" s="1"/>
      <c r="C411" s="4"/>
      <c r="D411" s="1"/>
      <c r="E411" s="1"/>
      <c r="F411" s="1"/>
      <c r="G411" s="1"/>
      <c r="H411" s="1"/>
      <c r="I411" s="2"/>
      <c r="J411" s="1"/>
      <c r="K411" s="1"/>
      <c r="L411" s="1"/>
    </row>
    <row r="412" spans="1:12" hidden="1">
      <c r="B412" s="1"/>
      <c r="I412" s="2"/>
    </row>
    <row r="413" spans="1:12" hidden="1">
      <c r="B413" s="1"/>
      <c r="I413" s="2"/>
    </row>
    <row r="414" spans="1:12" hidden="1">
      <c r="B414" s="1"/>
      <c r="I414" s="2"/>
    </row>
    <row r="415" spans="1:12" hidden="1">
      <c r="B415" s="1"/>
      <c r="I415" s="2"/>
    </row>
    <row r="416" spans="1:12" hidden="1">
      <c r="B416" s="1"/>
      <c r="I416" s="2"/>
    </row>
    <row r="417" spans="1:9" hidden="1">
      <c r="B417" s="1"/>
      <c r="I417" s="2"/>
    </row>
    <row r="418" spans="1:9" hidden="1">
      <c r="B418" s="1"/>
      <c r="I418" s="2"/>
    </row>
    <row r="419" spans="1:9" hidden="1">
      <c r="B419" s="1"/>
      <c r="I419" s="2"/>
    </row>
    <row r="420" spans="1:9" hidden="1">
      <c r="B420" s="1"/>
      <c r="I420" s="2"/>
    </row>
    <row r="421" spans="1:9">
      <c r="B421" s="1"/>
      <c r="I421" s="2"/>
    </row>
    <row r="422" spans="1:9">
      <c r="B422" s="1"/>
      <c r="I422" s="2"/>
    </row>
    <row r="423" spans="1:9">
      <c r="B423" s="1"/>
      <c r="I423" s="2"/>
    </row>
    <row r="424" spans="1:9">
      <c r="B424" s="1"/>
      <c r="I424" s="2"/>
    </row>
    <row r="425" spans="1:9">
      <c r="B425" s="1"/>
      <c r="I425" s="2"/>
    </row>
    <row r="426" spans="1:9">
      <c r="B426" s="1"/>
      <c r="I426" s="2"/>
    </row>
    <row r="427" spans="1:9">
      <c r="A427" s="1"/>
      <c r="B427" s="1"/>
      <c r="C427" s="1"/>
      <c r="I427" s="1"/>
    </row>
    <row r="428" spans="1:9">
      <c r="B428" s="1"/>
      <c r="I428" s="2"/>
    </row>
    <row r="429" spans="1:9">
      <c r="B429" s="1"/>
      <c r="I429" s="2"/>
    </row>
    <row r="430" spans="1:9">
      <c r="B430" s="1"/>
      <c r="I430" s="2"/>
    </row>
    <row r="431" spans="1:9">
      <c r="B431" s="1"/>
      <c r="I431" s="2"/>
    </row>
    <row r="432" spans="1:9">
      <c r="B432" s="1"/>
      <c r="I432" s="2"/>
    </row>
    <row r="433" spans="1:12">
      <c r="B433" s="1"/>
      <c r="I433" s="2"/>
    </row>
    <row r="434" spans="1:12">
      <c r="B434" s="1"/>
      <c r="I434" s="2"/>
    </row>
    <row r="435" spans="1:12">
      <c r="B435" s="1"/>
      <c r="I435" s="2"/>
    </row>
    <row r="436" spans="1:12">
      <c r="B436" s="1"/>
      <c r="I436" s="2"/>
    </row>
    <row r="437" spans="1:12">
      <c r="B437" s="1"/>
      <c r="I437" s="2"/>
    </row>
    <row r="438" spans="1:12">
      <c r="B438" s="1"/>
      <c r="I438" s="2"/>
    </row>
    <row r="439" spans="1:12">
      <c r="B439" s="1"/>
      <c r="I439" s="2"/>
    </row>
    <row r="440" spans="1:12">
      <c r="B440" s="1"/>
      <c r="I440" s="2"/>
    </row>
    <row r="441" spans="1:12">
      <c r="A441" s="1"/>
      <c r="B441" s="1"/>
      <c r="C441" s="1"/>
      <c r="I441" s="1"/>
    </row>
    <row r="442" spans="1:12">
      <c r="A442" s="1"/>
      <c r="B442" s="1"/>
      <c r="C442" s="1"/>
      <c r="I442" s="1"/>
    </row>
    <row r="443" spans="1:12">
      <c r="B443" s="1"/>
      <c r="I443" s="2"/>
    </row>
    <row r="444" spans="1:12">
      <c r="B444" s="1"/>
      <c r="I444" s="2"/>
    </row>
    <row r="445" spans="1:12">
      <c r="A445" s="1"/>
      <c r="B445" s="1"/>
      <c r="C445" s="1"/>
      <c r="I445" s="1"/>
    </row>
    <row r="446" spans="1:12">
      <c r="B446" s="1"/>
      <c r="I446" s="2"/>
    </row>
    <row r="447" spans="1:12">
      <c r="B447" s="1"/>
      <c r="I447" s="2"/>
    </row>
    <row r="448" spans="1:12">
      <c r="A448" s="1"/>
      <c r="B448" s="1"/>
      <c r="C448" s="1"/>
      <c r="I448" s="1"/>
      <c r="J448" s="48"/>
      <c r="K448" s="48"/>
      <c r="L448" s="48"/>
    </row>
    <row r="449" spans="2:9">
      <c r="B449" s="1"/>
      <c r="I449" s="2"/>
    </row>
    <row r="450" spans="2:9">
      <c r="B450" s="1"/>
      <c r="I450" s="2"/>
    </row>
    <row r="451" spans="2:9">
      <c r="B451" s="1"/>
      <c r="I451" s="2"/>
    </row>
    <row r="452" spans="2:9">
      <c r="B452" s="1"/>
      <c r="I452" s="2"/>
    </row>
    <row r="453" spans="2:9">
      <c r="B453" s="1"/>
      <c r="I453" s="2"/>
    </row>
    <row r="454" spans="2:9">
      <c r="B454" s="1"/>
      <c r="I454" s="2"/>
    </row>
    <row r="455" spans="2:9">
      <c r="B455" s="1"/>
      <c r="I455" s="2"/>
    </row>
    <row r="456" spans="2:9">
      <c r="B456" s="1"/>
      <c r="I456" s="2"/>
    </row>
    <row r="457" spans="2:9">
      <c r="B457" s="1"/>
      <c r="I457" s="2"/>
    </row>
    <row r="458" spans="2:9">
      <c r="B458" s="1"/>
      <c r="I458" s="2"/>
    </row>
    <row r="459" spans="2:9">
      <c r="B459" s="1"/>
      <c r="I459" s="2"/>
    </row>
    <row r="460" spans="2:9">
      <c r="B460" s="1"/>
      <c r="I460" s="2"/>
    </row>
    <row r="461" spans="2:9">
      <c r="B461" s="1"/>
      <c r="I461" s="2"/>
    </row>
    <row r="462" spans="2:9">
      <c r="B462" s="1"/>
      <c r="I462" s="2"/>
    </row>
    <row r="463" spans="2:9">
      <c r="B463" s="1"/>
      <c r="I463" s="2"/>
    </row>
    <row r="464" spans="2:9">
      <c r="B464" s="1"/>
      <c r="I464" s="2"/>
    </row>
    <row r="465" spans="1:12">
      <c r="B465" s="1"/>
      <c r="I465" s="2"/>
    </row>
    <row r="466" spans="1:12">
      <c r="B466" s="1"/>
      <c r="I466" s="2"/>
    </row>
    <row r="467" spans="1:12">
      <c r="B467" s="1"/>
      <c r="I467" s="2"/>
    </row>
    <row r="468" spans="1:12">
      <c r="B468" s="1"/>
      <c r="I468" s="2"/>
    </row>
    <row r="469" spans="1:12">
      <c r="B469" s="1"/>
      <c r="I469" s="2"/>
    </row>
    <row r="475" spans="1:12" s="48" customFormat="1">
      <c r="A475" s="2"/>
      <c r="B475" s="104"/>
      <c r="C475" s="4"/>
      <c r="D475" s="1"/>
      <c r="E475" s="1"/>
      <c r="F475" s="1"/>
      <c r="G475" s="1"/>
      <c r="H475" s="1"/>
      <c r="I475" s="5"/>
      <c r="J475" s="1"/>
      <c r="K475" s="1"/>
      <c r="L475" s="1"/>
    </row>
  </sheetData>
  <mergeCells count="131">
    <mergeCell ref="A377:A378"/>
    <mergeCell ref="H382:I382"/>
    <mergeCell ref="G377:G378"/>
    <mergeCell ref="D377:F377"/>
    <mergeCell ref="B249:I249"/>
    <mergeCell ref="H381:I381"/>
    <mergeCell ref="H380:I380"/>
    <mergeCell ref="H379:I379"/>
    <mergeCell ref="H377:I378"/>
    <mergeCell ref="B376:I376"/>
    <mergeCell ref="B377:C378"/>
    <mergeCell ref="B349:I349"/>
    <mergeCell ref="B193:I193"/>
    <mergeCell ref="B198:I198"/>
    <mergeCell ref="B201:I201"/>
    <mergeCell ref="B210:I210"/>
    <mergeCell ref="B237:I237"/>
    <mergeCell ref="B245:I245"/>
    <mergeCell ref="B214:I214"/>
    <mergeCell ref="B234:I234"/>
    <mergeCell ref="B229:I229"/>
    <mergeCell ref="I226:I227"/>
    <mergeCell ref="C226:C227"/>
    <mergeCell ref="G226:G227"/>
    <mergeCell ref="H226:H227"/>
    <mergeCell ref="D226:F226"/>
    <mergeCell ref="D190:F190"/>
    <mergeCell ref="G190:G191"/>
    <mergeCell ref="H190:H191"/>
    <mergeCell ref="I190:I191"/>
    <mergeCell ref="H152:H153"/>
    <mergeCell ref="C152:C153"/>
    <mergeCell ref="G152:G153"/>
    <mergeCell ref="B160:I160"/>
    <mergeCell ref="D152:F152"/>
    <mergeCell ref="B155:I155"/>
    <mergeCell ref="B62:I62"/>
    <mergeCell ref="B80:I80"/>
    <mergeCell ref="B85:I85"/>
    <mergeCell ref="B163:I163"/>
    <mergeCell ref="B172:I172"/>
    <mergeCell ref="B176:I176"/>
    <mergeCell ref="I152:I153"/>
    <mergeCell ref="I37:I38"/>
    <mergeCell ref="G37:G38"/>
    <mergeCell ref="D37:F37"/>
    <mergeCell ref="A226:A227"/>
    <mergeCell ref="B226:B227"/>
    <mergeCell ref="A37:A38"/>
    <mergeCell ref="B37:B38"/>
    <mergeCell ref="B46:I46"/>
    <mergeCell ref="B49:I49"/>
    <mergeCell ref="B58:I58"/>
    <mergeCell ref="B96:I96"/>
    <mergeCell ref="B100:I100"/>
    <mergeCell ref="H77:H78"/>
    <mergeCell ref="C77:C78"/>
    <mergeCell ref="G77:G78"/>
    <mergeCell ref="D77:F77"/>
    <mergeCell ref="B12:I12"/>
    <mergeCell ref="B20:I20"/>
    <mergeCell ref="B24:I24"/>
    <mergeCell ref="A77:A78"/>
    <mergeCell ref="B77:B78"/>
    <mergeCell ref="B88:I88"/>
    <mergeCell ref="I77:I78"/>
    <mergeCell ref="C37:C38"/>
    <mergeCell ref="B40:I40"/>
    <mergeCell ref="H37:H38"/>
    <mergeCell ref="B190:B191"/>
    <mergeCell ref="B114:B115"/>
    <mergeCell ref="B152:B153"/>
    <mergeCell ref="A190:A191"/>
    <mergeCell ref="A152:A153"/>
    <mergeCell ref="B117:I117"/>
    <mergeCell ref="B122:I122"/>
    <mergeCell ref="B125:I125"/>
    <mergeCell ref="B134:I134"/>
    <mergeCell ref="C190:C191"/>
    <mergeCell ref="I114:I115"/>
    <mergeCell ref="H114:H115"/>
    <mergeCell ref="D114:F114"/>
    <mergeCell ref="C114:C115"/>
    <mergeCell ref="G114:G115"/>
    <mergeCell ref="A114:A115"/>
    <mergeCell ref="B263:B264"/>
    <mergeCell ref="G1:G2"/>
    <mergeCell ref="H1:H2"/>
    <mergeCell ref="I1:I2"/>
    <mergeCell ref="B4:I4"/>
    <mergeCell ref="A1:A2"/>
    <mergeCell ref="B1:B2"/>
    <mergeCell ref="C1:C2"/>
    <mergeCell ref="D1:F1"/>
    <mergeCell ref="B138:I138"/>
    <mergeCell ref="B298:B299"/>
    <mergeCell ref="D298:F298"/>
    <mergeCell ref="G298:G299"/>
    <mergeCell ref="A298:A299"/>
    <mergeCell ref="B9:I9"/>
    <mergeCell ref="B262:I262"/>
    <mergeCell ref="H263:H264"/>
    <mergeCell ref="G263:G264"/>
    <mergeCell ref="D263:F263"/>
    <mergeCell ref="C263:C264"/>
    <mergeCell ref="B320:I320"/>
    <mergeCell ref="G338:G339"/>
    <mergeCell ref="H338:H339"/>
    <mergeCell ref="I338:I339"/>
    <mergeCell ref="A263:A264"/>
    <mergeCell ref="B307:I307"/>
    <mergeCell ref="B301:I301"/>
    <mergeCell ref="C298:C299"/>
    <mergeCell ref="I298:I299"/>
    <mergeCell ref="H298:H299"/>
    <mergeCell ref="B274:I274"/>
    <mergeCell ref="B271:I271"/>
    <mergeCell ref="B266:I266"/>
    <mergeCell ref="I263:I264"/>
    <mergeCell ref="B358:I358"/>
    <mergeCell ref="B362:I362"/>
    <mergeCell ref="B287:I287"/>
    <mergeCell ref="B283:I283"/>
    <mergeCell ref="B310:I310"/>
    <mergeCell ref="B324:I324"/>
    <mergeCell ref="B341:I341"/>
    <mergeCell ref="B346:I346"/>
    <mergeCell ref="A338:A339"/>
    <mergeCell ref="B338:B339"/>
    <mergeCell ref="C338:C339"/>
    <mergeCell ref="D338:F338"/>
  </mergeCells>
  <phoneticPr fontId="0" type="noConversion"/>
  <pageMargins left="0.39370077848434398" right="0.39370077848434398" top="0.78740155696868896" bottom="0.39370077848434398" header="0.39370077848434398" footer="0.39370077848434398"/>
  <pageSetup paperSize="9" scale="18" orientation="portrait"/>
  <rowBreaks count="13" manualBreakCount="13">
    <brk id="36" max="16383" man="1"/>
    <brk id="76" max="16383" man="1"/>
    <brk id="113" max="16383" man="1"/>
    <brk id="151" max="16383" man="1"/>
    <brk id="189" max="16383" man="1"/>
    <brk id="225" max="16383" man="1"/>
    <brk id="261" max="16383" man="1"/>
    <brk id="297" max="16383" man="1"/>
    <brk id="337" max="16383" man="1"/>
    <brk id="375" max="16383" man="1"/>
    <brk id="418" max="16383" man="1"/>
    <brk id="439" max="16383" man="1"/>
    <brk id="4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5:T1085"/>
  <sheetViews>
    <sheetView workbookViewId="0"/>
  </sheetViews>
  <sheetFormatPr defaultColWidth="9" defaultRowHeight="18"/>
  <cols>
    <col min="1" max="4" width="9" style="117" customWidth="1"/>
    <col min="5" max="5" width="10.77734375" style="117" bestFit="1" customWidth="1"/>
    <col min="6" max="9" width="9" style="117" customWidth="1"/>
    <col min="10" max="10" width="10.77734375" style="117" bestFit="1" customWidth="1"/>
    <col min="11" max="11" width="9" style="117" customWidth="1"/>
    <col min="12" max="16384" width="9" style="117"/>
  </cols>
  <sheetData>
    <row r="5" spans="4:10">
      <c r="D5" s="118">
        <v>83</v>
      </c>
      <c r="E5" s="117">
        <f t="shared" ref="E5:E15" si="0">D5*150/180</f>
        <v>69.166666666666671</v>
      </c>
      <c r="I5" s="118">
        <v>92</v>
      </c>
      <c r="J5" s="117">
        <f t="shared" ref="J5:J16" si="1">I5*80/100</f>
        <v>73.599999999999994</v>
      </c>
    </row>
    <row r="6" spans="4:10">
      <c r="D6" s="119">
        <v>124</v>
      </c>
      <c r="E6" s="117">
        <f t="shared" si="0"/>
        <v>103.33333333333333</v>
      </c>
      <c r="I6" s="119">
        <v>113</v>
      </c>
      <c r="J6" s="117">
        <f t="shared" si="1"/>
        <v>90.4</v>
      </c>
    </row>
    <row r="7" spans="4:10">
      <c r="D7" s="119">
        <v>62</v>
      </c>
      <c r="E7" s="117">
        <f t="shared" si="0"/>
        <v>51.666666666666664</v>
      </c>
      <c r="I7" s="119">
        <v>5</v>
      </c>
      <c r="J7" s="117">
        <f t="shared" si="1"/>
        <v>4</v>
      </c>
    </row>
    <row r="8" spans="4:10">
      <c r="D8" s="119">
        <v>129</v>
      </c>
      <c r="E8" s="117">
        <f t="shared" si="0"/>
        <v>107.5</v>
      </c>
      <c r="I8" s="119">
        <v>5</v>
      </c>
      <c r="J8" s="117">
        <f t="shared" si="1"/>
        <v>4</v>
      </c>
    </row>
    <row r="9" spans="4:10">
      <c r="D9" s="119">
        <v>69</v>
      </c>
      <c r="E9" s="117">
        <f t="shared" si="0"/>
        <v>57.5</v>
      </c>
      <c r="I9" s="119"/>
      <c r="J9" s="117">
        <f t="shared" si="1"/>
        <v>0</v>
      </c>
    </row>
    <row r="10" spans="4:10">
      <c r="D10" s="119">
        <v>124</v>
      </c>
      <c r="E10" s="117">
        <f t="shared" si="0"/>
        <v>103.33333333333333</v>
      </c>
      <c r="I10" s="119">
        <v>5</v>
      </c>
      <c r="J10" s="117">
        <f t="shared" si="1"/>
        <v>4</v>
      </c>
    </row>
    <row r="11" spans="4:10">
      <c r="D11" s="119">
        <v>57</v>
      </c>
      <c r="E11" s="117">
        <f t="shared" si="0"/>
        <v>47.5</v>
      </c>
      <c r="I11" s="119">
        <v>5.3</v>
      </c>
      <c r="J11" s="117">
        <f t="shared" si="1"/>
        <v>4.24</v>
      </c>
    </row>
    <row r="12" spans="4:10">
      <c r="D12" s="119">
        <v>138</v>
      </c>
      <c r="E12" s="117">
        <f t="shared" si="0"/>
        <v>115</v>
      </c>
      <c r="I12" s="119">
        <v>2.1</v>
      </c>
      <c r="J12" s="117">
        <f t="shared" si="1"/>
        <v>1.68</v>
      </c>
    </row>
    <row r="13" spans="4:10">
      <c r="D13" s="119">
        <v>172</v>
      </c>
      <c r="E13" s="117">
        <f t="shared" si="0"/>
        <v>143.33333333333334</v>
      </c>
      <c r="I13" s="119">
        <v>2</v>
      </c>
      <c r="J13" s="117">
        <f t="shared" si="1"/>
        <v>1.6</v>
      </c>
    </row>
    <row r="14" spans="4:10">
      <c r="D14" s="119">
        <v>8</v>
      </c>
      <c r="E14" s="117">
        <f t="shared" si="0"/>
        <v>6.666666666666667</v>
      </c>
      <c r="I14" s="119">
        <v>50</v>
      </c>
      <c r="J14" s="117">
        <f t="shared" si="1"/>
        <v>40</v>
      </c>
    </row>
    <row r="15" spans="4:10">
      <c r="D15" s="119">
        <v>180</v>
      </c>
      <c r="E15" s="117">
        <f t="shared" si="0"/>
        <v>150</v>
      </c>
      <c r="I15" s="119">
        <v>50</v>
      </c>
      <c r="J15" s="117">
        <f t="shared" si="1"/>
        <v>40</v>
      </c>
    </row>
    <row r="16" spans="4:10">
      <c r="I16" s="119" t="s">
        <v>200</v>
      </c>
      <c r="J16" s="117" t="e">
        <f t="shared" si="1"/>
        <v>#VALUE!</v>
      </c>
    </row>
    <row r="22" spans="4:11">
      <c r="J22" s="118">
        <v>148</v>
      </c>
      <c r="K22" s="117">
        <f t="shared" ref="K22:K27" si="2">J22*40/50</f>
        <v>118.4</v>
      </c>
    </row>
    <row r="23" spans="4:11">
      <c r="D23" s="118">
        <v>5.8</v>
      </c>
      <c r="E23" s="120">
        <v>5</v>
      </c>
      <c r="F23" s="120">
        <v>9.6</v>
      </c>
      <c r="G23" s="120">
        <v>108</v>
      </c>
      <c r="H23" s="120">
        <v>2.6</v>
      </c>
      <c r="J23" s="119">
        <v>148</v>
      </c>
      <c r="K23" s="117">
        <f t="shared" si="2"/>
        <v>118.4</v>
      </c>
    </row>
    <row r="24" spans="4:11">
      <c r="D24" s="117">
        <f>D23*147/200</f>
        <v>4.2629999999999999</v>
      </c>
      <c r="E24" s="117">
        <f>E23*147/200</f>
        <v>3.6749999999999998</v>
      </c>
      <c r="F24" s="117">
        <f>F23*147/200</f>
        <v>7.056</v>
      </c>
      <c r="G24" s="117">
        <f>G23*147/200</f>
        <v>79.38</v>
      </c>
      <c r="H24" s="117">
        <f>H23*147/200</f>
        <v>1.911</v>
      </c>
      <c r="J24" s="119">
        <v>136</v>
      </c>
      <c r="K24" s="117">
        <f t="shared" si="2"/>
        <v>108.8</v>
      </c>
    </row>
    <row r="25" spans="4:11">
      <c r="J25" s="119">
        <v>121</v>
      </c>
      <c r="K25" s="117">
        <f t="shared" si="2"/>
        <v>96.8</v>
      </c>
    </row>
    <row r="26" spans="4:11">
      <c r="J26" s="119">
        <v>94</v>
      </c>
      <c r="K26" s="117">
        <f t="shared" si="2"/>
        <v>75.2</v>
      </c>
    </row>
    <row r="27" spans="4:11">
      <c r="J27" s="119">
        <v>50</v>
      </c>
      <c r="K27" s="117">
        <f t="shared" si="2"/>
        <v>40</v>
      </c>
    </row>
    <row r="32" spans="4:11">
      <c r="G32" s="118">
        <v>118</v>
      </c>
      <c r="H32" s="117">
        <f t="shared" ref="H32:H39" si="3">G32*150/100</f>
        <v>177</v>
      </c>
    </row>
    <row r="33" spans="7:15">
      <c r="G33" s="119">
        <v>127</v>
      </c>
      <c r="H33" s="117">
        <f t="shared" si="3"/>
        <v>190.5</v>
      </c>
      <c r="K33" s="118">
        <v>3.06</v>
      </c>
      <c r="L33" s="120">
        <v>4.08</v>
      </c>
      <c r="M33" s="120">
        <v>13.61</v>
      </c>
      <c r="N33" s="120">
        <v>120.69</v>
      </c>
      <c r="O33" s="121">
        <v>12.73</v>
      </c>
    </row>
    <row r="34" spans="7:15">
      <c r="G34" s="119">
        <v>137</v>
      </c>
      <c r="H34" s="117">
        <f t="shared" si="3"/>
        <v>205.5</v>
      </c>
      <c r="K34" s="117">
        <f>K33*150/100</f>
        <v>4.59</v>
      </c>
      <c r="L34" s="117">
        <f>L33*150/100</f>
        <v>6.12</v>
      </c>
      <c r="M34" s="117">
        <f>M33*150/100</f>
        <v>20.414999999999999</v>
      </c>
      <c r="N34" s="117">
        <f>N33*150/100</f>
        <v>181.035</v>
      </c>
      <c r="O34" s="117">
        <f>O33*150/100</f>
        <v>19.094999999999999</v>
      </c>
    </row>
    <row r="35" spans="7:15">
      <c r="G35" s="119">
        <v>149</v>
      </c>
      <c r="H35" s="117">
        <f t="shared" si="3"/>
        <v>223.5</v>
      </c>
    </row>
    <row r="36" spans="7:15">
      <c r="G36" s="122">
        <v>30</v>
      </c>
      <c r="H36" s="117">
        <f t="shared" si="3"/>
        <v>45</v>
      </c>
    </row>
    <row r="37" spans="7:15">
      <c r="G37" s="122">
        <v>3</v>
      </c>
      <c r="H37" s="117">
        <f t="shared" si="3"/>
        <v>4.5</v>
      </c>
    </row>
    <row r="38" spans="7:15">
      <c r="G38" s="122">
        <v>5</v>
      </c>
      <c r="H38" s="117">
        <f t="shared" si="3"/>
        <v>7.5</v>
      </c>
    </row>
    <row r="39" spans="7:15">
      <c r="G39" s="122">
        <v>100</v>
      </c>
      <c r="H39" s="117">
        <f t="shared" si="3"/>
        <v>150</v>
      </c>
    </row>
    <row r="58" spans="2:12">
      <c r="B58" s="118">
        <v>19</v>
      </c>
      <c r="C58" s="117">
        <f t="shared" ref="C58:C65" si="4">B58*180/150</f>
        <v>22.8</v>
      </c>
      <c r="E58" s="118">
        <v>5.3</v>
      </c>
      <c r="F58" s="120">
        <v>5.52</v>
      </c>
      <c r="G58" s="120">
        <v>15.2</v>
      </c>
      <c r="H58" s="120">
        <v>172</v>
      </c>
      <c r="I58" s="120">
        <v>1.47</v>
      </c>
    </row>
    <row r="59" spans="2:12">
      <c r="B59" s="119">
        <v>113</v>
      </c>
      <c r="C59" s="117">
        <f t="shared" si="4"/>
        <v>135.6</v>
      </c>
      <c r="E59" s="123">
        <f>E58*180/150</f>
        <v>6.36</v>
      </c>
      <c r="F59" s="123">
        <f>F58*180/150</f>
        <v>6.6239999999999997</v>
      </c>
      <c r="G59" s="123">
        <f>G58*180/150</f>
        <v>18.239999999999998</v>
      </c>
      <c r="H59" s="123">
        <f>H58*180/150</f>
        <v>206.4</v>
      </c>
      <c r="I59" s="123">
        <f>I58*180/150</f>
        <v>1.7640000000000002</v>
      </c>
    </row>
    <row r="60" spans="2:12">
      <c r="B60" s="119">
        <v>27</v>
      </c>
      <c r="C60" s="117">
        <f t="shared" si="4"/>
        <v>32.4</v>
      </c>
    </row>
    <row r="61" spans="2:12">
      <c r="B61" s="119">
        <v>4</v>
      </c>
      <c r="C61" s="117">
        <f t="shared" si="4"/>
        <v>4.8</v>
      </c>
    </row>
    <row r="62" spans="2:12">
      <c r="B62" s="119">
        <v>148</v>
      </c>
      <c r="C62" s="117">
        <f t="shared" si="4"/>
        <v>177.6</v>
      </c>
    </row>
    <row r="63" spans="2:12">
      <c r="B63" s="119">
        <v>2</v>
      </c>
      <c r="C63" s="117">
        <f t="shared" si="4"/>
        <v>2.4</v>
      </c>
      <c r="H63" s="118">
        <v>4.3499999999999996</v>
      </c>
      <c r="I63" s="120">
        <v>4.8</v>
      </c>
      <c r="J63" s="120">
        <v>6</v>
      </c>
      <c r="K63" s="120">
        <v>88.5</v>
      </c>
      <c r="L63" s="120">
        <v>1.05</v>
      </c>
    </row>
    <row r="64" spans="2:12">
      <c r="B64" s="119">
        <v>150</v>
      </c>
      <c r="C64" s="117">
        <f t="shared" si="4"/>
        <v>180</v>
      </c>
      <c r="H64" s="117">
        <f>H63*180/150</f>
        <v>5.2199999999999989</v>
      </c>
      <c r="I64" s="117">
        <f>I63*180/150</f>
        <v>5.76</v>
      </c>
      <c r="J64" s="117">
        <f>J63*180/150</f>
        <v>7.2</v>
      </c>
      <c r="K64" s="117">
        <f>K63*180/150</f>
        <v>106.2</v>
      </c>
      <c r="L64" s="117">
        <f>L63*180/150</f>
        <v>1.26</v>
      </c>
    </row>
    <row r="65" spans="2:13">
      <c r="B65" s="119">
        <v>150</v>
      </c>
      <c r="C65" s="117">
        <f t="shared" si="4"/>
        <v>180</v>
      </c>
    </row>
    <row r="71" spans="2:13">
      <c r="I71" s="124">
        <v>4.3</v>
      </c>
      <c r="J71" s="121">
        <v>3.7</v>
      </c>
      <c r="K71" s="121">
        <v>7.1</v>
      </c>
      <c r="L71" s="121">
        <v>79.400000000000006</v>
      </c>
      <c r="M71" s="121">
        <v>1.9</v>
      </c>
    </row>
    <row r="72" spans="2:13">
      <c r="I72" s="123">
        <f>I71*176/147</f>
        <v>5.148299319727891</v>
      </c>
      <c r="J72" s="123">
        <f>J71*176/147</f>
        <v>4.4299319727891158</v>
      </c>
      <c r="K72" s="123">
        <f>K71*176/147</f>
        <v>8.500680272108843</v>
      </c>
      <c r="L72" s="123">
        <f>L71*176/147</f>
        <v>95.063945578231298</v>
      </c>
      <c r="M72" s="123">
        <f>M71*176/147</f>
        <v>2.2748299319727892</v>
      </c>
    </row>
    <row r="85" spans="6:15">
      <c r="F85" s="118">
        <v>123</v>
      </c>
      <c r="G85" s="117">
        <f t="shared" ref="G85:G100" si="5">F85*200/250</f>
        <v>98.4</v>
      </c>
      <c r="J85" s="118">
        <v>128</v>
      </c>
      <c r="K85" s="117">
        <f t="shared" ref="K85:K100" si="6">J85*150/210</f>
        <v>91.428571428571431</v>
      </c>
    </row>
    <row r="86" spans="6:15">
      <c r="F86" s="119">
        <v>151</v>
      </c>
      <c r="G86" s="117">
        <f t="shared" si="5"/>
        <v>120.8</v>
      </c>
      <c r="J86" s="119">
        <v>104</v>
      </c>
      <c r="K86" s="117">
        <f t="shared" si="6"/>
        <v>74.285714285714292</v>
      </c>
    </row>
    <row r="87" spans="6:15">
      <c r="F87" s="119"/>
      <c r="G87" s="117">
        <f t="shared" si="5"/>
        <v>0</v>
      </c>
      <c r="J87" s="119"/>
      <c r="K87" s="117">
        <f t="shared" si="6"/>
        <v>0</v>
      </c>
    </row>
    <row r="88" spans="6:15">
      <c r="F88" s="119">
        <v>158</v>
      </c>
      <c r="G88" s="117">
        <f t="shared" si="5"/>
        <v>126.4</v>
      </c>
      <c r="J88" s="119">
        <v>132</v>
      </c>
      <c r="K88" s="117">
        <f t="shared" si="6"/>
        <v>94.285714285714292</v>
      </c>
      <c r="N88" s="118">
        <v>45</v>
      </c>
      <c r="O88" s="117">
        <f>N88*180/200</f>
        <v>40.5</v>
      </c>
    </row>
    <row r="89" spans="6:15">
      <c r="F89" s="119">
        <v>170</v>
      </c>
      <c r="G89" s="117">
        <f t="shared" si="5"/>
        <v>136</v>
      </c>
      <c r="J89" s="119">
        <v>142</v>
      </c>
      <c r="K89" s="117">
        <f t="shared" si="6"/>
        <v>101.42857142857143</v>
      </c>
      <c r="N89" s="119">
        <v>45</v>
      </c>
      <c r="O89" s="117">
        <f>N89*180/200</f>
        <v>40.5</v>
      </c>
    </row>
    <row r="90" spans="6:15">
      <c r="F90" s="119">
        <v>182</v>
      </c>
      <c r="G90" s="117">
        <f t="shared" si="5"/>
        <v>145.6</v>
      </c>
      <c r="J90" s="119">
        <v>152</v>
      </c>
      <c r="K90" s="117">
        <f t="shared" si="6"/>
        <v>108.57142857142857</v>
      </c>
      <c r="N90" s="119">
        <v>13</v>
      </c>
      <c r="O90" s="117">
        <f>N90*180/200</f>
        <v>11.7</v>
      </c>
    </row>
    <row r="91" spans="6:15">
      <c r="F91" s="119">
        <v>198</v>
      </c>
      <c r="G91" s="117">
        <f t="shared" si="5"/>
        <v>158.4</v>
      </c>
      <c r="J91" s="119">
        <v>165</v>
      </c>
      <c r="K91" s="117">
        <f t="shared" si="6"/>
        <v>117.85714285714286</v>
      </c>
      <c r="N91" s="119">
        <v>170</v>
      </c>
      <c r="O91" s="117">
        <f>N91*180/200</f>
        <v>153</v>
      </c>
    </row>
    <row r="92" spans="6:15">
      <c r="F92" s="119">
        <v>17</v>
      </c>
      <c r="G92" s="117">
        <f t="shared" si="5"/>
        <v>13.6</v>
      </c>
      <c r="J92" s="119">
        <v>14</v>
      </c>
      <c r="K92" s="117">
        <f t="shared" si="6"/>
        <v>10</v>
      </c>
      <c r="N92" s="119">
        <v>200</v>
      </c>
      <c r="O92" s="117">
        <f>N92*180/200</f>
        <v>180</v>
      </c>
    </row>
    <row r="93" spans="6:15">
      <c r="F93" s="119">
        <v>6</v>
      </c>
      <c r="G93" s="117">
        <f t="shared" si="5"/>
        <v>4.8</v>
      </c>
      <c r="J93" s="119">
        <v>5</v>
      </c>
      <c r="K93" s="117">
        <f t="shared" si="6"/>
        <v>3.5714285714285716</v>
      </c>
    </row>
    <row r="94" spans="6:15">
      <c r="F94" s="119">
        <v>1.2</v>
      </c>
      <c r="G94" s="117">
        <f t="shared" si="5"/>
        <v>0.96</v>
      </c>
      <c r="J94" s="119">
        <v>0.9</v>
      </c>
      <c r="K94" s="117">
        <f t="shared" si="6"/>
        <v>0.6428571428571429</v>
      </c>
    </row>
    <row r="95" spans="6:15">
      <c r="F95" s="119"/>
      <c r="G95" s="117">
        <f t="shared" si="5"/>
        <v>0</v>
      </c>
      <c r="J95" s="119"/>
      <c r="K95" s="117">
        <f t="shared" si="6"/>
        <v>0</v>
      </c>
    </row>
    <row r="96" spans="6:15">
      <c r="F96" s="119">
        <v>39</v>
      </c>
      <c r="G96" s="117">
        <f t="shared" si="5"/>
        <v>31.2</v>
      </c>
      <c r="J96" s="119">
        <v>33</v>
      </c>
      <c r="K96" s="117">
        <f t="shared" si="6"/>
        <v>23.571428571428573</v>
      </c>
    </row>
    <row r="97" spans="3:13">
      <c r="F97" s="119">
        <v>41</v>
      </c>
      <c r="G97" s="117">
        <f t="shared" si="5"/>
        <v>32.799999999999997</v>
      </c>
      <c r="J97" s="119">
        <v>35</v>
      </c>
      <c r="K97" s="117">
        <f t="shared" si="6"/>
        <v>25</v>
      </c>
    </row>
    <row r="98" spans="3:13">
      <c r="F98" s="119">
        <v>70</v>
      </c>
      <c r="G98" s="117">
        <f t="shared" si="5"/>
        <v>56</v>
      </c>
      <c r="J98" s="119">
        <v>60</v>
      </c>
      <c r="K98" s="117">
        <f t="shared" si="6"/>
        <v>42.857142857142854</v>
      </c>
    </row>
    <row r="99" spans="3:13">
      <c r="F99" s="119">
        <v>180</v>
      </c>
      <c r="G99" s="117">
        <f t="shared" si="5"/>
        <v>144</v>
      </c>
      <c r="J99" s="119">
        <v>150</v>
      </c>
      <c r="K99" s="117">
        <f t="shared" si="6"/>
        <v>107.14285714285714</v>
      </c>
    </row>
    <row r="100" spans="3:13">
      <c r="F100" s="119">
        <v>250</v>
      </c>
      <c r="G100" s="117">
        <f t="shared" si="5"/>
        <v>200</v>
      </c>
      <c r="J100" s="119">
        <v>210</v>
      </c>
      <c r="K100" s="117">
        <f t="shared" si="6"/>
        <v>150</v>
      </c>
    </row>
    <row r="104" spans="3:13">
      <c r="C104" s="118">
        <v>83</v>
      </c>
      <c r="D104" s="117">
        <f t="shared" ref="D104:D114" si="7">C104*150/180</f>
        <v>69.166666666666671</v>
      </c>
      <c r="H104" s="118">
        <v>25</v>
      </c>
      <c r="I104" s="117">
        <f t="shared" ref="I104:I113" si="8">H104*180/200</f>
        <v>22.5</v>
      </c>
    </row>
    <row r="105" spans="3:13">
      <c r="C105" s="119">
        <v>124</v>
      </c>
      <c r="D105" s="117">
        <f t="shared" si="7"/>
        <v>103.33333333333333</v>
      </c>
      <c r="H105" s="119">
        <v>25</v>
      </c>
      <c r="I105" s="117">
        <f t="shared" si="8"/>
        <v>22.5</v>
      </c>
    </row>
    <row r="106" spans="3:13">
      <c r="C106" s="119">
        <v>62</v>
      </c>
      <c r="D106" s="117">
        <f t="shared" si="7"/>
        <v>51.666666666666664</v>
      </c>
      <c r="H106" s="119">
        <v>25</v>
      </c>
      <c r="I106" s="117">
        <f t="shared" si="8"/>
        <v>22.5</v>
      </c>
    </row>
    <row r="107" spans="3:13">
      <c r="C107" s="119">
        <v>129</v>
      </c>
      <c r="D107" s="117">
        <f t="shared" si="7"/>
        <v>107.5</v>
      </c>
      <c r="H107" s="119">
        <v>25</v>
      </c>
      <c r="I107" s="117">
        <f t="shared" si="8"/>
        <v>22.5</v>
      </c>
    </row>
    <row r="108" spans="3:13">
      <c r="C108" s="119">
        <v>69</v>
      </c>
      <c r="D108" s="117">
        <f t="shared" si="7"/>
        <v>57.5</v>
      </c>
      <c r="H108" s="119">
        <v>25</v>
      </c>
      <c r="I108" s="117">
        <f t="shared" si="8"/>
        <v>22.5</v>
      </c>
    </row>
    <row r="109" spans="3:13">
      <c r="C109" s="119">
        <v>124</v>
      </c>
      <c r="D109" s="117">
        <f t="shared" si="7"/>
        <v>103.33333333333333</v>
      </c>
      <c r="H109" s="119">
        <v>25</v>
      </c>
      <c r="I109" s="117">
        <f t="shared" si="8"/>
        <v>22.5</v>
      </c>
      <c r="L109" s="118">
        <v>2</v>
      </c>
      <c r="M109" s="117">
        <f t="shared" ref="M109:M117" si="9">L109*40/50</f>
        <v>1.6</v>
      </c>
    </row>
    <row r="110" spans="3:13">
      <c r="C110" s="119">
        <v>57</v>
      </c>
      <c r="D110" s="117">
        <f t="shared" si="7"/>
        <v>47.5</v>
      </c>
      <c r="H110" s="119">
        <v>25</v>
      </c>
      <c r="I110" s="117">
        <f t="shared" si="8"/>
        <v>22.5</v>
      </c>
      <c r="L110" s="119">
        <v>2</v>
      </c>
      <c r="M110" s="117">
        <f t="shared" si="9"/>
        <v>1.6</v>
      </c>
    </row>
    <row r="111" spans="3:13">
      <c r="C111" s="119">
        <v>138</v>
      </c>
      <c r="D111" s="117">
        <f t="shared" si="7"/>
        <v>115</v>
      </c>
      <c r="H111" s="119">
        <v>15</v>
      </c>
      <c r="I111" s="117">
        <f t="shared" si="8"/>
        <v>13.5</v>
      </c>
      <c r="L111" s="119">
        <v>0.6</v>
      </c>
      <c r="M111" s="117">
        <f t="shared" si="9"/>
        <v>0.48</v>
      </c>
    </row>
    <row r="112" spans="3:13">
      <c r="C112" s="119">
        <v>172</v>
      </c>
      <c r="D112" s="117">
        <f t="shared" si="7"/>
        <v>143.33333333333334</v>
      </c>
      <c r="H112" s="119">
        <v>190</v>
      </c>
      <c r="I112" s="117">
        <f t="shared" si="8"/>
        <v>171</v>
      </c>
      <c r="L112" s="119">
        <v>4</v>
      </c>
      <c r="M112" s="117">
        <f t="shared" si="9"/>
        <v>3.2</v>
      </c>
    </row>
    <row r="113" spans="3:13">
      <c r="C113" s="119">
        <v>8</v>
      </c>
      <c r="D113" s="117">
        <f t="shared" si="7"/>
        <v>6.666666666666667</v>
      </c>
      <c r="H113" s="119">
        <v>200</v>
      </c>
      <c r="I113" s="117">
        <f t="shared" si="8"/>
        <v>180</v>
      </c>
      <c r="L113" s="119"/>
      <c r="M113" s="117">
        <f t="shared" si="9"/>
        <v>0</v>
      </c>
    </row>
    <row r="114" spans="3:13">
      <c r="C114" s="119">
        <v>180</v>
      </c>
      <c r="D114" s="117">
        <f t="shared" si="7"/>
        <v>150</v>
      </c>
      <c r="L114" s="119">
        <v>12.5</v>
      </c>
      <c r="M114" s="117">
        <f t="shared" si="9"/>
        <v>10</v>
      </c>
    </row>
    <row r="115" spans="3:13">
      <c r="L115" s="119">
        <v>13.3</v>
      </c>
      <c r="M115" s="117">
        <f t="shared" si="9"/>
        <v>10.64</v>
      </c>
    </row>
    <row r="116" spans="3:13">
      <c r="L116" s="119">
        <v>50</v>
      </c>
      <c r="M116" s="117">
        <f t="shared" si="9"/>
        <v>40</v>
      </c>
    </row>
    <row r="117" spans="3:13">
      <c r="E117" s="118">
        <v>23</v>
      </c>
      <c r="F117" s="117">
        <f>E117*150/180</f>
        <v>19.166666666666668</v>
      </c>
      <c r="L117" s="119">
        <v>50</v>
      </c>
      <c r="M117" s="117">
        <f t="shared" si="9"/>
        <v>40</v>
      </c>
    </row>
    <row r="118" spans="3:13">
      <c r="E118" s="119">
        <v>178</v>
      </c>
      <c r="F118" s="117">
        <f>E118*150/180</f>
        <v>148.33333333333334</v>
      </c>
    </row>
    <row r="119" spans="3:13">
      <c r="E119" s="119">
        <v>9</v>
      </c>
      <c r="F119" s="117">
        <f>E119*150/180</f>
        <v>7.5</v>
      </c>
    </row>
    <row r="120" spans="3:13">
      <c r="E120" s="119">
        <v>180</v>
      </c>
      <c r="F120" s="117">
        <f>E120*150/180</f>
        <v>150</v>
      </c>
      <c r="H120" s="118">
        <v>170</v>
      </c>
      <c r="I120" s="117">
        <f t="shared" ref="I120:I127" si="10">H120*130/150</f>
        <v>147.33333333333334</v>
      </c>
    </row>
    <row r="121" spans="3:13">
      <c r="H121" s="119">
        <v>183</v>
      </c>
      <c r="I121" s="117">
        <f t="shared" si="10"/>
        <v>158.6</v>
      </c>
    </row>
    <row r="122" spans="3:13">
      <c r="H122" s="119">
        <v>197</v>
      </c>
      <c r="I122" s="117">
        <f t="shared" si="10"/>
        <v>170.73333333333332</v>
      </c>
    </row>
    <row r="123" spans="3:13">
      <c r="H123" s="119">
        <v>214</v>
      </c>
      <c r="I123" s="117">
        <f t="shared" si="10"/>
        <v>185.46666666666667</v>
      </c>
    </row>
    <row r="124" spans="3:13">
      <c r="H124" s="119">
        <v>24</v>
      </c>
      <c r="I124" s="117">
        <f t="shared" si="10"/>
        <v>20.8</v>
      </c>
    </row>
    <row r="125" spans="3:13">
      <c r="H125" s="119">
        <v>23</v>
      </c>
      <c r="I125" s="117">
        <f t="shared" si="10"/>
        <v>19.933333333333334</v>
      </c>
    </row>
    <row r="126" spans="3:13">
      <c r="H126" s="119">
        <v>5</v>
      </c>
      <c r="I126" s="117">
        <f t="shared" si="10"/>
        <v>4.333333333333333</v>
      </c>
    </row>
    <row r="127" spans="3:13">
      <c r="H127" s="119">
        <v>150</v>
      </c>
      <c r="I127" s="117">
        <f t="shared" si="10"/>
        <v>130</v>
      </c>
    </row>
    <row r="136" spans="3:14">
      <c r="C136" s="118">
        <v>99</v>
      </c>
      <c r="D136" s="117">
        <f t="shared" ref="D136:D145" si="11">C136*65/75</f>
        <v>85.8</v>
      </c>
      <c r="M136" s="118">
        <v>109</v>
      </c>
      <c r="N136" s="117">
        <f t="shared" ref="N136:N149" si="12">M136*150/220</f>
        <v>74.318181818181813</v>
      </c>
    </row>
    <row r="137" spans="3:14">
      <c r="C137" s="119">
        <v>2</v>
      </c>
      <c r="D137" s="117">
        <f t="shared" si="11"/>
        <v>1.7333333333333334</v>
      </c>
      <c r="I137" s="118">
        <v>198</v>
      </c>
      <c r="J137" s="117">
        <f t="shared" ref="J137:J146" si="13">I137*100/150</f>
        <v>132</v>
      </c>
      <c r="M137" s="119">
        <v>134</v>
      </c>
      <c r="N137" s="117">
        <f t="shared" si="12"/>
        <v>91.36363636363636</v>
      </c>
    </row>
    <row r="138" spans="3:14">
      <c r="C138" s="119">
        <v>2</v>
      </c>
      <c r="D138" s="117">
        <f t="shared" si="11"/>
        <v>1.7333333333333334</v>
      </c>
      <c r="I138" s="119">
        <v>4</v>
      </c>
      <c r="J138" s="117">
        <f t="shared" si="13"/>
        <v>2.6666666666666665</v>
      </c>
      <c r="M138" s="119"/>
      <c r="N138" s="117">
        <f t="shared" si="12"/>
        <v>0</v>
      </c>
    </row>
    <row r="139" spans="3:14">
      <c r="C139" s="119"/>
      <c r="D139" s="117">
        <f t="shared" si="11"/>
        <v>0</v>
      </c>
      <c r="I139" s="119">
        <v>3.6</v>
      </c>
      <c r="J139" s="117">
        <f t="shared" si="13"/>
        <v>2.4</v>
      </c>
      <c r="M139" s="119">
        <v>208</v>
      </c>
      <c r="N139" s="117">
        <f t="shared" si="12"/>
        <v>141.81818181818181</v>
      </c>
    </row>
    <row r="140" spans="3:14">
      <c r="C140" s="119">
        <v>6</v>
      </c>
      <c r="D140" s="117">
        <f t="shared" si="11"/>
        <v>5.2</v>
      </c>
      <c r="I140" s="119"/>
      <c r="J140" s="117">
        <f t="shared" si="13"/>
        <v>0</v>
      </c>
      <c r="M140" s="119">
        <v>4</v>
      </c>
      <c r="N140" s="117">
        <f t="shared" si="12"/>
        <v>2.7272727272727271</v>
      </c>
    </row>
    <row r="141" spans="3:14">
      <c r="C141" s="119">
        <v>7</v>
      </c>
      <c r="D141" s="117">
        <f t="shared" si="11"/>
        <v>6.0666666666666664</v>
      </c>
      <c r="I141" s="119">
        <v>12</v>
      </c>
      <c r="J141" s="117">
        <f t="shared" si="13"/>
        <v>8</v>
      </c>
      <c r="M141" s="119">
        <v>3.6</v>
      </c>
      <c r="N141" s="117">
        <f t="shared" si="12"/>
        <v>2.4545454545454546</v>
      </c>
    </row>
    <row r="142" spans="3:14">
      <c r="C142" s="119">
        <v>6</v>
      </c>
      <c r="D142" s="117">
        <f t="shared" si="11"/>
        <v>5.2</v>
      </c>
      <c r="I142" s="119">
        <v>14</v>
      </c>
      <c r="J142" s="117">
        <f t="shared" si="13"/>
        <v>9.3333333333333339</v>
      </c>
      <c r="M142" s="119"/>
      <c r="N142" s="117">
        <f t="shared" si="12"/>
        <v>0</v>
      </c>
    </row>
    <row r="143" spans="3:14">
      <c r="C143" s="119">
        <v>1</v>
      </c>
      <c r="D143" s="117">
        <f t="shared" si="11"/>
        <v>0.8666666666666667</v>
      </c>
      <c r="I143" s="119">
        <v>12</v>
      </c>
      <c r="J143" s="117">
        <f t="shared" si="13"/>
        <v>8</v>
      </c>
      <c r="M143" s="119">
        <v>8</v>
      </c>
      <c r="N143" s="117">
        <f t="shared" si="12"/>
        <v>5.4545454545454541</v>
      </c>
    </row>
    <row r="144" spans="3:14">
      <c r="C144" s="119">
        <v>2</v>
      </c>
      <c r="D144" s="117">
        <f t="shared" si="11"/>
        <v>1.7333333333333334</v>
      </c>
      <c r="I144" s="119">
        <v>2</v>
      </c>
      <c r="J144" s="117">
        <f t="shared" si="13"/>
        <v>1.3333333333333333</v>
      </c>
      <c r="M144" s="119">
        <v>9</v>
      </c>
      <c r="N144" s="117">
        <f t="shared" si="12"/>
        <v>6.1363636363636367</v>
      </c>
    </row>
    <row r="145" spans="3:14">
      <c r="C145" s="119">
        <v>75</v>
      </c>
      <c r="D145" s="117">
        <f t="shared" si="11"/>
        <v>65</v>
      </c>
      <c r="I145" s="119">
        <v>4</v>
      </c>
      <c r="J145" s="117">
        <f t="shared" si="13"/>
        <v>2.6666666666666665</v>
      </c>
      <c r="M145" s="119">
        <v>11</v>
      </c>
      <c r="N145" s="117">
        <f t="shared" si="12"/>
        <v>7.5</v>
      </c>
    </row>
    <row r="146" spans="3:14">
      <c r="I146" s="119">
        <v>150</v>
      </c>
      <c r="J146" s="117">
        <f t="shared" si="13"/>
        <v>100</v>
      </c>
      <c r="M146" s="119">
        <v>1.8</v>
      </c>
      <c r="N146" s="117">
        <f t="shared" si="12"/>
        <v>1.2272727272727273</v>
      </c>
    </row>
    <row r="147" spans="3:14">
      <c r="M147" s="119">
        <v>4</v>
      </c>
      <c r="N147" s="117">
        <f t="shared" si="12"/>
        <v>2.7272727272727271</v>
      </c>
    </row>
    <row r="148" spans="3:14">
      <c r="M148" s="119">
        <v>158</v>
      </c>
      <c r="N148" s="117">
        <f t="shared" si="12"/>
        <v>107.72727272727273</v>
      </c>
    </row>
    <row r="149" spans="3:14">
      <c r="E149" s="124">
        <v>147</v>
      </c>
      <c r="F149" s="117">
        <f t="shared" ref="F149:F156" si="14">E149*100/130</f>
        <v>113.07692307692308</v>
      </c>
      <c r="M149" s="119">
        <v>220</v>
      </c>
      <c r="N149" s="117">
        <f t="shared" si="12"/>
        <v>150</v>
      </c>
    </row>
    <row r="150" spans="3:14">
      <c r="E150" s="122">
        <v>159</v>
      </c>
      <c r="F150" s="117">
        <f t="shared" si="14"/>
        <v>122.30769230769231</v>
      </c>
    </row>
    <row r="151" spans="3:14">
      <c r="E151" s="122">
        <v>171</v>
      </c>
      <c r="F151" s="117">
        <f t="shared" si="14"/>
        <v>131.53846153846155</v>
      </c>
    </row>
    <row r="152" spans="3:14">
      <c r="E152" s="122">
        <v>185</v>
      </c>
      <c r="F152" s="117">
        <f t="shared" si="14"/>
        <v>142.30769230769232</v>
      </c>
    </row>
    <row r="153" spans="3:14">
      <c r="E153" s="122">
        <v>21</v>
      </c>
      <c r="F153" s="117">
        <f t="shared" si="14"/>
        <v>16.153846153846153</v>
      </c>
    </row>
    <row r="154" spans="3:14">
      <c r="E154" s="122">
        <v>20</v>
      </c>
      <c r="F154" s="117">
        <f t="shared" si="14"/>
        <v>15.384615384615385</v>
      </c>
    </row>
    <row r="155" spans="3:14">
      <c r="E155" s="122">
        <v>4</v>
      </c>
      <c r="F155" s="117">
        <f t="shared" si="14"/>
        <v>3.0769230769230771</v>
      </c>
    </row>
    <row r="156" spans="3:14">
      <c r="E156" s="122">
        <v>130</v>
      </c>
      <c r="F156" s="117">
        <f t="shared" si="14"/>
        <v>100</v>
      </c>
    </row>
    <row r="162" spans="4:14">
      <c r="I162" s="124">
        <v>74</v>
      </c>
      <c r="J162" s="117">
        <f t="shared" ref="J162:J172" si="15">I162*60/80</f>
        <v>55.5</v>
      </c>
      <c r="M162" s="124">
        <v>118</v>
      </c>
      <c r="N162" s="117">
        <f t="shared" ref="N162:N177" si="16">M162*150/170</f>
        <v>104.11764705882354</v>
      </c>
    </row>
    <row r="163" spans="4:14">
      <c r="D163" s="124">
        <v>85</v>
      </c>
      <c r="E163" s="117">
        <f t="shared" ref="E163:E172" si="17">D163*50/65</f>
        <v>65.384615384615387</v>
      </c>
      <c r="I163" s="122">
        <v>90</v>
      </c>
      <c r="J163" s="117">
        <f t="shared" si="15"/>
        <v>67.5</v>
      </c>
      <c r="M163" s="122">
        <v>118</v>
      </c>
      <c r="N163" s="117">
        <f t="shared" si="16"/>
        <v>104.11764705882354</v>
      </c>
    </row>
    <row r="164" spans="4:14">
      <c r="D164" s="122">
        <v>1.7</v>
      </c>
      <c r="E164" s="117">
        <f t="shared" si="17"/>
        <v>1.3076923076923077</v>
      </c>
      <c r="I164" s="122">
        <v>4</v>
      </c>
      <c r="J164" s="117">
        <f t="shared" si="15"/>
        <v>3</v>
      </c>
      <c r="M164" s="122">
        <v>109</v>
      </c>
      <c r="N164" s="117">
        <f t="shared" si="16"/>
        <v>96.17647058823529</v>
      </c>
    </row>
    <row r="165" spans="4:14">
      <c r="D165" s="122">
        <v>1.7</v>
      </c>
      <c r="E165" s="117">
        <f t="shared" si="17"/>
        <v>1.3076923076923077</v>
      </c>
      <c r="I165" s="122">
        <v>4</v>
      </c>
      <c r="J165" s="117">
        <f t="shared" si="15"/>
        <v>3</v>
      </c>
      <c r="M165" s="122">
        <v>97</v>
      </c>
      <c r="N165" s="117">
        <f t="shared" si="16"/>
        <v>85.588235294117652</v>
      </c>
    </row>
    <row r="166" spans="4:14">
      <c r="D166" s="122"/>
      <c r="E166" s="117">
        <f t="shared" si="17"/>
        <v>0</v>
      </c>
      <c r="I166" s="122"/>
      <c r="J166" s="117">
        <f t="shared" si="15"/>
        <v>0</v>
      </c>
      <c r="M166" s="119"/>
      <c r="N166" s="117">
        <f t="shared" si="16"/>
        <v>0</v>
      </c>
    </row>
    <row r="167" spans="4:14">
      <c r="D167" s="122">
        <v>5</v>
      </c>
      <c r="E167" s="117">
        <f t="shared" si="17"/>
        <v>3.8461538461538463</v>
      </c>
      <c r="I167" s="122">
        <v>3.8</v>
      </c>
      <c r="J167" s="117">
        <f t="shared" si="15"/>
        <v>2.85</v>
      </c>
      <c r="M167" s="119"/>
      <c r="N167" s="117">
        <f t="shared" si="16"/>
        <v>0</v>
      </c>
    </row>
    <row r="168" spans="4:14">
      <c r="D168" s="122">
        <v>6</v>
      </c>
      <c r="E168" s="117">
        <f t="shared" si="17"/>
        <v>4.615384615384615</v>
      </c>
      <c r="I168" s="122">
        <v>4</v>
      </c>
      <c r="J168" s="117">
        <f t="shared" si="15"/>
        <v>3</v>
      </c>
      <c r="M168" s="119">
        <v>2</v>
      </c>
      <c r="N168" s="117">
        <f t="shared" si="16"/>
        <v>1.7647058823529411</v>
      </c>
    </row>
    <row r="169" spans="4:14">
      <c r="D169" s="122">
        <v>5</v>
      </c>
      <c r="E169" s="117">
        <f t="shared" si="17"/>
        <v>3.8461538461538463</v>
      </c>
      <c r="I169" s="122">
        <v>1.7</v>
      </c>
      <c r="J169" s="117">
        <f t="shared" si="15"/>
        <v>1.2749999999999999</v>
      </c>
      <c r="M169" s="119">
        <v>2</v>
      </c>
      <c r="N169" s="117">
        <f t="shared" si="16"/>
        <v>1.7647058823529411</v>
      </c>
    </row>
    <row r="170" spans="4:14">
      <c r="D170" s="122">
        <v>0.9</v>
      </c>
      <c r="E170" s="117">
        <f t="shared" si="17"/>
        <v>0.69230769230769229</v>
      </c>
      <c r="I170" s="122">
        <v>1.6</v>
      </c>
      <c r="J170" s="117">
        <f t="shared" si="15"/>
        <v>1.2</v>
      </c>
      <c r="M170" s="119">
        <v>12</v>
      </c>
      <c r="N170" s="117">
        <f t="shared" si="16"/>
        <v>10.588235294117647</v>
      </c>
    </row>
    <row r="171" spans="4:14">
      <c r="D171" s="122">
        <v>1.7</v>
      </c>
      <c r="E171" s="117">
        <f t="shared" si="17"/>
        <v>1.3076923076923077</v>
      </c>
      <c r="I171" s="122">
        <v>40</v>
      </c>
      <c r="J171" s="117">
        <f t="shared" si="15"/>
        <v>30</v>
      </c>
      <c r="M171" s="119"/>
      <c r="N171" s="117">
        <f t="shared" si="16"/>
        <v>0</v>
      </c>
    </row>
    <row r="172" spans="4:14">
      <c r="D172" s="122">
        <v>65</v>
      </c>
      <c r="E172" s="117">
        <f t="shared" si="17"/>
        <v>50</v>
      </c>
      <c r="I172" s="122">
        <v>40</v>
      </c>
      <c r="J172" s="117">
        <f t="shared" si="15"/>
        <v>30</v>
      </c>
      <c r="M172" s="119">
        <v>15</v>
      </c>
      <c r="N172" s="117">
        <f t="shared" si="16"/>
        <v>13.235294117647058</v>
      </c>
    </row>
    <row r="173" spans="4:14">
      <c r="M173" s="119">
        <v>16</v>
      </c>
      <c r="N173" s="117">
        <f t="shared" si="16"/>
        <v>14.117647058823529</v>
      </c>
    </row>
    <row r="174" spans="4:14">
      <c r="M174" s="119">
        <v>46</v>
      </c>
      <c r="N174" s="117">
        <f t="shared" si="16"/>
        <v>40.588235294117645</v>
      </c>
    </row>
    <row r="175" spans="4:14">
      <c r="M175" s="119">
        <v>96</v>
      </c>
      <c r="N175" s="117">
        <f t="shared" si="16"/>
        <v>84.705882352941174</v>
      </c>
    </row>
    <row r="176" spans="4:14">
      <c r="M176" s="119">
        <v>130</v>
      </c>
      <c r="N176" s="117">
        <f t="shared" si="16"/>
        <v>114.70588235294117</v>
      </c>
    </row>
    <row r="177" spans="5:14">
      <c r="M177" s="119">
        <v>170</v>
      </c>
      <c r="N177" s="117">
        <f t="shared" si="16"/>
        <v>150</v>
      </c>
    </row>
    <row r="184" spans="5:14">
      <c r="E184" s="118">
        <v>66</v>
      </c>
      <c r="F184" s="117">
        <f t="shared" ref="F184:F196" si="18">E184*50/70</f>
        <v>47.142857142857146</v>
      </c>
      <c r="K184" s="118">
        <v>85</v>
      </c>
      <c r="L184" s="117">
        <f t="shared" ref="L184:L202" si="19">K184*50/70</f>
        <v>60.714285714285715</v>
      </c>
    </row>
    <row r="185" spans="5:14">
      <c r="E185" s="119">
        <v>72</v>
      </c>
      <c r="F185" s="117">
        <f t="shared" si="18"/>
        <v>51.428571428571431</v>
      </c>
      <c r="K185" s="119">
        <v>85</v>
      </c>
      <c r="L185" s="117">
        <f t="shared" si="19"/>
        <v>60.714285714285715</v>
      </c>
    </row>
    <row r="186" spans="5:14">
      <c r="E186" s="119">
        <v>84</v>
      </c>
      <c r="F186" s="117">
        <f t="shared" si="18"/>
        <v>60</v>
      </c>
      <c r="K186" s="119">
        <v>85</v>
      </c>
      <c r="L186" s="117">
        <f t="shared" si="19"/>
        <v>60.714285714285715</v>
      </c>
    </row>
    <row r="187" spans="5:14">
      <c r="E187" s="119">
        <v>69</v>
      </c>
      <c r="F187" s="117">
        <f t="shared" si="18"/>
        <v>49.285714285714285</v>
      </c>
      <c r="K187" s="119">
        <v>85</v>
      </c>
      <c r="L187" s="117">
        <f t="shared" si="19"/>
        <v>60.714285714285715</v>
      </c>
    </row>
    <row r="188" spans="5:14">
      <c r="E188" s="119">
        <v>12</v>
      </c>
      <c r="F188" s="117">
        <f t="shared" si="18"/>
        <v>8.5714285714285712</v>
      </c>
      <c r="K188" s="119">
        <v>14</v>
      </c>
      <c r="L188" s="117">
        <f t="shared" si="19"/>
        <v>10</v>
      </c>
    </row>
    <row r="189" spans="5:14">
      <c r="E189" s="119">
        <v>6</v>
      </c>
      <c r="F189" s="117">
        <f t="shared" si="18"/>
        <v>4.2857142857142856</v>
      </c>
      <c r="K189" s="119"/>
      <c r="L189" s="117">
        <f t="shared" si="19"/>
        <v>0</v>
      </c>
    </row>
    <row r="190" spans="5:14">
      <c r="E190" s="119" t="s">
        <v>201</v>
      </c>
      <c r="F190" s="117" t="e">
        <f t="shared" si="18"/>
        <v>#VALUE!</v>
      </c>
      <c r="K190" s="119">
        <v>24</v>
      </c>
      <c r="L190" s="117">
        <f t="shared" si="19"/>
        <v>17.142857142857142</v>
      </c>
    </row>
    <row r="191" spans="5:14">
      <c r="E191" s="119">
        <v>10</v>
      </c>
      <c r="F191" s="117">
        <f t="shared" si="18"/>
        <v>7.1428571428571432</v>
      </c>
      <c r="K191" s="119">
        <v>24</v>
      </c>
      <c r="L191" s="117">
        <f t="shared" si="19"/>
        <v>17.142857142857142</v>
      </c>
    </row>
    <row r="192" spans="5:14">
      <c r="E192" s="119"/>
      <c r="F192" s="117">
        <f t="shared" si="18"/>
        <v>0</v>
      </c>
      <c r="K192" s="119">
        <v>6</v>
      </c>
      <c r="L192" s="117">
        <f t="shared" si="19"/>
        <v>4.2857142857142856</v>
      </c>
    </row>
    <row r="193" spans="3:12">
      <c r="E193" s="119">
        <v>4</v>
      </c>
      <c r="F193" s="117">
        <f t="shared" si="18"/>
        <v>2.8571428571428572</v>
      </c>
      <c r="K193" s="119"/>
      <c r="L193" s="117">
        <f t="shared" si="19"/>
        <v>0</v>
      </c>
    </row>
    <row r="194" spans="3:12">
      <c r="E194" s="119">
        <v>3.5</v>
      </c>
      <c r="F194" s="117">
        <f t="shared" si="18"/>
        <v>2.5</v>
      </c>
      <c r="K194" s="119">
        <v>0.6</v>
      </c>
      <c r="L194" s="117">
        <f t="shared" si="19"/>
        <v>0.42857142857142855</v>
      </c>
    </row>
    <row r="195" spans="3:12">
      <c r="E195" s="119">
        <v>70</v>
      </c>
      <c r="F195" s="117">
        <f t="shared" si="18"/>
        <v>50</v>
      </c>
      <c r="K195" s="119">
        <v>0.6</v>
      </c>
      <c r="L195" s="117">
        <f t="shared" si="19"/>
        <v>0.42857142857142855</v>
      </c>
    </row>
    <row r="196" spans="3:12">
      <c r="E196" s="119">
        <v>70</v>
      </c>
      <c r="F196" s="117">
        <f t="shared" si="18"/>
        <v>50</v>
      </c>
      <c r="K196" s="119">
        <v>15</v>
      </c>
      <c r="L196" s="117">
        <f t="shared" si="19"/>
        <v>10.714285714285714</v>
      </c>
    </row>
    <row r="197" spans="3:12">
      <c r="K197" s="119">
        <v>15</v>
      </c>
      <c r="L197" s="117">
        <f t="shared" si="19"/>
        <v>10.714285714285714</v>
      </c>
    </row>
    <row r="198" spans="3:12">
      <c r="K198" s="119">
        <v>5</v>
      </c>
      <c r="L198" s="117">
        <f t="shared" si="19"/>
        <v>3.5714285714285716</v>
      </c>
    </row>
    <row r="199" spans="3:12">
      <c r="K199" s="119">
        <v>20</v>
      </c>
      <c r="L199" s="117">
        <f t="shared" si="19"/>
        <v>14.285714285714286</v>
      </c>
    </row>
    <row r="200" spans="3:12">
      <c r="C200" s="118">
        <v>124</v>
      </c>
      <c r="D200" s="117">
        <f t="shared" ref="D200:D208" si="20">C200*50/70</f>
        <v>88.571428571428569</v>
      </c>
      <c r="K200" s="119">
        <v>70</v>
      </c>
      <c r="L200" s="117">
        <f t="shared" si="19"/>
        <v>50</v>
      </c>
    </row>
    <row r="201" spans="3:12">
      <c r="C201" s="119">
        <v>115</v>
      </c>
      <c r="D201" s="117">
        <f t="shared" si="20"/>
        <v>82.142857142857139</v>
      </c>
      <c r="L201" s="117">
        <f t="shared" si="19"/>
        <v>0</v>
      </c>
    </row>
    <row r="202" spans="3:12">
      <c r="C202" s="119">
        <v>170</v>
      </c>
      <c r="D202" s="117">
        <f t="shared" si="20"/>
        <v>121.42857142857143</v>
      </c>
      <c r="L202" s="117">
        <f t="shared" si="19"/>
        <v>0</v>
      </c>
    </row>
    <row r="203" spans="3:12">
      <c r="C203" s="119">
        <v>121</v>
      </c>
      <c r="D203" s="117">
        <f t="shared" si="20"/>
        <v>86.428571428571431</v>
      </c>
    </row>
    <row r="204" spans="3:12">
      <c r="C204" s="119">
        <v>17</v>
      </c>
      <c r="D204" s="117">
        <f t="shared" si="20"/>
        <v>12.142857142857142</v>
      </c>
    </row>
    <row r="205" spans="3:12">
      <c r="C205" s="119"/>
      <c r="D205" s="117">
        <f t="shared" si="20"/>
        <v>0</v>
      </c>
    </row>
    <row r="206" spans="3:12">
      <c r="C206" s="119">
        <v>31</v>
      </c>
      <c r="D206" s="117">
        <f t="shared" si="20"/>
        <v>22.142857142857142</v>
      </c>
    </row>
    <row r="207" spans="3:12">
      <c r="C207" s="119">
        <v>32</v>
      </c>
      <c r="D207" s="117">
        <f t="shared" si="20"/>
        <v>22.857142857142858</v>
      </c>
    </row>
    <row r="208" spans="3:12">
      <c r="C208" s="119">
        <v>6</v>
      </c>
      <c r="D208" s="117">
        <f t="shared" si="20"/>
        <v>4.2857142857142856</v>
      </c>
    </row>
    <row r="230" spans="4:11">
      <c r="D230" s="118">
        <v>14</v>
      </c>
      <c r="E230" s="117">
        <f t="shared" ref="E230:E260" si="21">D230*120/200</f>
        <v>8.4</v>
      </c>
      <c r="G230" s="118">
        <v>3.32</v>
      </c>
      <c r="H230" s="120">
        <v>3.93</v>
      </c>
      <c r="I230" s="120">
        <v>15.69</v>
      </c>
      <c r="J230" s="120">
        <v>109.15</v>
      </c>
      <c r="K230" s="120">
        <v>6.3</v>
      </c>
    </row>
    <row r="231" spans="4:11">
      <c r="D231" s="119">
        <v>6</v>
      </c>
      <c r="E231" s="117">
        <f t="shared" si="21"/>
        <v>3.6</v>
      </c>
      <c r="G231" s="125">
        <f>G230*120/200</f>
        <v>1.992</v>
      </c>
      <c r="H231" s="125">
        <f>H230*120/200</f>
        <v>2.3580000000000001</v>
      </c>
      <c r="I231" s="125">
        <f>I230*120/200</f>
        <v>9.4139999999999997</v>
      </c>
      <c r="J231" s="125">
        <f>J230*120/200</f>
        <v>65.489999999999995</v>
      </c>
      <c r="K231" s="125">
        <f>K230*120/200</f>
        <v>3.78</v>
      </c>
    </row>
    <row r="232" spans="4:11">
      <c r="D232" s="119">
        <v>4</v>
      </c>
      <c r="E232" s="117">
        <f t="shared" si="21"/>
        <v>2.4</v>
      </c>
    </row>
    <row r="233" spans="4:11">
      <c r="D233" s="119">
        <v>3</v>
      </c>
      <c r="E233" s="117">
        <f t="shared" si="21"/>
        <v>1.8</v>
      </c>
    </row>
    <row r="234" spans="4:11">
      <c r="D234" s="119">
        <v>18</v>
      </c>
      <c r="E234" s="117">
        <f t="shared" si="21"/>
        <v>10.8</v>
      </c>
    </row>
    <row r="235" spans="4:11">
      <c r="D235" s="119">
        <v>40</v>
      </c>
      <c r="E235" s="117">
        <f t="shared" si="21"/>
        <v>24</v>
      </c>
    </row>
    <row r="236" spans="4:11">
      <c r="D236" s="119">
        <v>7</v>
      </c>
      <c r="E236" s="117">
        <f t="shared" si="21"/>
        <v>4.2</v>
      </c>
    </row>
    <row r="237" spans="4:11">
      <c r="D237" s="119"/>
      <c r="E237" s="117">
        <f t="shared" si="21"/>
        <v>0</v>
      </c>
    </row>
    <row r="238" spans="4:11">
      <c r="D238" s="119">
        <v>8</v>
      </c>
      <c r="E238" s="117">
        <f t="shared" si="21"/>
        <v>4.8</v>
      </c>
    </row>
    <row r="239" spans="4:11">
      <c r="D239" s="119">
        <v>8</v>
      </c>
      <c r="E239" s="117">
        <f t="shared" si="21"/>
        <v>4.8</v>
      </c>
    </row>
    <row r="240" spans="4:11">
      <c r="D240" s="119">
        <v>2</v>
      </c>
      <c r="E240" s="117">
        <f t="shared" si="21"/>
        <v>1.2</v>
      </c>
    </row>
    <row r="241" spans="4:5">
      <c r="D241" s="119">
        <v>180</v>
      </c>
      <c r="E241" s="117">
        <f t="shared" si="21"/>
        <v>108</v>
      </c>
    </row>
    <row r="242" spans="4:5">
      <c r="D242" s="119">
        <v>200</v>
      </c>
      <c r="E242" s="117">
        <f t="shared" si="21"/>
        <v>120</v>
      </c>
    </row>
    <row r="243" spans="4:5">
      <c r="D243" s="119">
        <v>10</v>
      </c>
      <c r="E243" s="117">
        <f t="shared" si="21"/>
        <v>6</v>
      </c>
    </row>
    <row r="244" spans="4:5">
      <c r="D244" s="119">
        <v>22</v>
      </c>
      <c r="E244" s="117">
        <f t="shared" si="21"/>
        <v>13.2</v>
      </c>
    </row>
    <row r="245" spans="4:5">
      <c r="D245" s="119">
        <v>24</v>
      </c>
      <c r="E245" s="117">
        <f t="shared" si="21"/>
        <v>14.4</v>
      </c>
    </row>
    <row r="246" spans="4:5">
      <c r="D246" s="119"/>
      <c r="E246" s="117">
        <f t="shared" si="21"/>
        <v>0</v>
      </c>
    </row>
    <row r="247" spans="4:5">
      <c r="D247" s="119"/>
      <c r="E247" s="117">
        <f t="shared" si="21"/>
        <v>0</v>
      </c>
    </row>
    <row r="248" spans="4:5">
      <c r="D248" s="119">
        <v>35</v>
      </c>
      <c r="E248" s="117">
        <f t="shared" si="21"/>
        <v>21</v>
      </c>
    </row>
    <row r="249" spans="4:5">
      <c r="D249" s="119">
        <v>35</v>
      </c>
      <c r="E249" s="117">
        <f t="shared" si="21"/>
        <v>21</v>
      </c>
    </row>
    <row r="250" spans="4:5">
      <c r="D250" s="119">
        <v>35</v>
      </c>
      <c r="E250" s="117">
        <f t="shared" si="21"/>
        <v>21</v>
      </c>
    </row>
    <row r="251" spans="4:5">
      <c r="D251" s="119">
        <v>35</v>
      </c>
      <c r="E251" s="117">
        <f t="shared" si="21"/>
        <v>21</v>
      </c>
    </row>
    <row r="252" spans="4:5">
      <c r="D252" s="119"/>
      <c r="E252" s="117">
        <f t="shared" si="21"/>
        <v>0</v>
      </c>
    </row>
    <row r="253" spans="4:5">
      <c r="D253" s="119">
        <v>7</v>
      </c>
      <c r="E253" s="117">
        <f t="shared" si="21"/>
        <v>4.2</v>
      </c>
    </row>
    <row r="254" spans="4:5">
      <c r="D254" s="119">
        <v>7</v>
      </c>
      <c r="E254" s="117">
        <f t="shared" si="21"/>
        <v>4.2</v>
      </c>
    </row>
    <row r="255" spans="4:5">
      <c r="D255" s="119">
        <v>8</v>
      </c>
      <c r="E255" s="117">
        <f t="shared" si="21"/>
        <v>4.8</v>
      </c>
    </row>
    <row r="256" spans="4:5">
      <c r="D256" s="119">
        <v>1.6</v>
      </c>
      <c r="E256" s="117">
        <f t="shared" si="21"/>
        <v>0.96</v>
      </c>
    </row>
    <row r="257" spans="4:5">
      <c r="D257" s="119">
        <v>25</v>
      </c>
      <c r="E257" s="117">
        <f t="shared" si="21"/>
        <v>15</v>
      </c>
    </row>
    <row r="258" spans="4:5">
      <c r="D258" s="119">
        <v>140</v>
      </c>
      <c r="E258" s="117">
        <f t="shared" si="21"/>
        <v>84</v>
      </c>
    </row>
    <row r="259" spans="4:5">
      <c r="D259" s="119">
        <v>200</v>
      </c>
      <c r="E259" s="117">
        <f t="shared" si="21"/>
        <v>120</v>
      </c>
    </row>
    <row r="260" spans="4:5">
      <c r="D260" s="119">
        <v>10</v>
      </c>
      <c r="E260" s="117">
        <f t="shared" si="21"/>
        <v>6</v>
      </c>
    </row>
    <row r="277" spans="4:15">
      <c r="D277" s="118">
        <v>44</v>
      </c>
      <c r="E277" s="117">
        <f t="shared" ref="E277:E284" si="22">D277*30/45</f>
        <v>29.333333333333332</v>
      </c>
      <c r="G277" s="118">
        <v>0.79</v>
      </c>
      <c r="H277" s="120">
        <v>3.63</v>
      </c>
      <c r="I277" s="120">
        <v>4.54</v>
      </c>
      <c r="J277" s="120">
        <v>55</v>
      </c>
      <c r="K277" s="120">
        <v>4.8</v>
      </c>
    </row>
    <row r="278" spans="4:15">
      <c r="D278" s="119">
        <v>46</v>
      </c>
      <c r="E278" s="117">
        <f t="shared" si="22"/>
        <v>30.666666666666668</v>
      </c>
      <c r="G278" s="125">
        <f>G277*30/45</f>
        <v>0.52666666666666673</v>
      </c>
      <c r="H278" s="125">
        <f>H277*30/45</f>
        <v>2.42</v>
      </c>
      <c r="I278" s="125">
        <f>I277*30/45</f>
        <v>3.0266666666666664</v>
      </c>
      <c r="J278" s="125">
        <f>J277*30/45</f>
        <v>36.666666666666664</v>
      </c>
      <c r="K278" s="125">
        <f>K277*30/45</f>
        <v>3.2</v>
      </c>
    </row>
    <row r="279" spans="4:15">
      <c r="D279" s="119">
        <v>34</v>
      </c>
      <c r="E279" s="117">
        <f t="shared" si="22"/>
        <v>22.666666666666668</v>
      </c>
    </row>
    <row r="280" spans="4:15">
      <c r="D280" s="119">
        <v>8</v>
      </c>
      <c r="E280" s="117">
        <f t="shared" si="22"/>
        <v>5.333333333333333</v>
      </c>
    </row>
    <row r="281" spans="4:15">
      <c r="D281" s="119">
        <v>1.2</v>
      </c>
      <c r="E281" s="117">
        <f t="shared" si="22"/>
        <v>0.8</v>
      </c>
      <c r="G281" s="118">
        <v>32</v>
      </c>
      <c r="H281" s="117">
        <f t="shared" ref="H281:H294" si="23">G281*120/200</f>
        <v>19.2</v>
      </c>
    </row>
    <row r="282" spans="4:15">
      <c r="D282" s="119">
        <v>4</v>
      </c>
      <c r="E282" s="117">
        <f t="shared" si="22"/>
        <v>2.6666666666666665</v>
      </c>
      <c r="G282" s="119">
        <v>5</v>
      </c>
      <c r="H282" s="117">
        <f t="shared" si="23"/>
        <v>3</v>
      </c>
    </row>
    <row r="283" spans="4:15">
      <c r="D283" s="119">
        <v>0.54</v>
      </c>
      <c r="E283" s="117">
        <f t="shared" si="22"/>
        <v>0.36000000000000004</v>
      </c>
      <c r="G283" s="119">
        <v>140</v>
      </c>
      <c r="H283" s="117">
        <f t="shared" si="23"/>
        <v>84</v>
      </c>
    </row>
    <row r="284" spans="4:15">
      <c r="D284" s="119">
        <v>45</v>
      </c>
      <c r="E284" s="117">
        <f t="shared" si="22"/>
        <v>30</v>
      </c>
      <c r="G284" s="119"/>
      <c r="H284" s="117">
        <f t="shared" si="23"/>
        <v>0</v>
      </c>
      <c r="K284" s="117">
        <v>4.24</v>
      </c>
      <c r="L284" s="117">
        <v>5.2</v>
      </c>
      <c r="M284" s="117">
        <v>20.239999999999998</v>
      </c>
      <c r="N284" s="117">
        <v>112.8</v>
      </c>
      <c r="O284" s="117">
        <v>9.64</v>
      </c>
    </row>
    <row r="285" spans="4:15">
      <c r="G285" s="119">
        <v>68</v>
      </c>
      <c r="H285" s="117">
        <f t="shared" si="23"/>
        <v>40.799999999999997</v>
      </c>
      <c r="K285" s="117">
        <f>K284*120/200</f>
        <v>2.544</v>
      </c>
      <c r="L285" s="117">
        <f>L284*120/200</f>
        <v>3.12</v>
      </c>
      <c r="M285" s="117">
        <f>M284*120/200</f>
        <v>12.143999999999998</v>
      </c>
      <c r="N285" s="117">
        <f>N284*120/200</f>
        <v>67.680000000000007</v>
      </c>
      <c r="O285" s="117">
        <f>O284*120/200</f>
        <v>5.7840000000000007</v>
      </c>
    </row>
    <row r="286" spans="4:15">
      <c r="G286" s="119">
        <v>86</v>
      </c>
      <c r="H286" s="117">
        <f t="shared" si="23"/>
        <v>51.6</v>
      </c>
    </row>
    <row r="287" spans="4:15">
      <c r="G287" s="119">
        <v>93</v>
      </c>
      <c r="H287" s="117">
        <f t="shared" si="23"/>
        <v>55.8</v>
      </c>
    </row>
    <row r="288" spans="4:15">
      <c r="G288" s="119">
        <v>100</v>
      </c>
      <c r="H288" s="117">
        <f t="shared" si="23"/>
        <v>60</v>
      </c>
    </row>
    <row r="289" spans="4:13">
      <c r="G289" s="119"/>
      <c r="H289" s="117">
        <f t="shared" si="23"/>
        <v>0</v>
      </c>
    </row>
    <row r="290" spans="4:13">
      <c r="G290" s="119">
        <v>10</v>
      </c>
      <c r="H290" s="117">
        <f t="shared" si="23"/>
        <v>6</v>
      </c>
    </row>
    <row r="291" spans="4:13">
      <c r="G291" s="119">
        <v>11</v>
      </c>
      <c r="H291" s="117">
        <f t="shared" si="23"/>
        <v>6.6</v>
      </c>
    </row>
    <row r="292" spans="4:13">
      <c r="G292" s="119">
        <v>10</v>
      </c>
      <c r="H292" s="117">
        <f t="shared" si="23"/>
        <v>6</v>
      </c>
    </row>
    <row r="293" spans="4:13">
      <c r="G293" s="119">
        <v>3</v>
      </c>
      <c r="H293" s="117">
        <f t="shared" si="23"/>
        <v>1.8</v>
      </c>
    </row>
    <row r="294" spans="4:13">
      <c r="G294" s="119">
        <v>200</v>
      </c>
      <c r="H294" s="117">
        <f t="shared" si="23"/>
        <v>120</v>
      </c>
    </row>
    <row r="299" spans="4:13">
      <c r="D299" s="118">
        <v>50</v>
      </c>
      <c r="E299" s="117">
        <f t="shared" ref="E299:E305" si="24">D299*160/80</f>
        <v>100</v>
      </c>
      <c r="H299" s="124">
        <v>13.8</v>
      </c>
      <c r="I299" s="121">
        <v>16.54</v>
      </c>
      <c r="J299" s="121">
        <v>3.7</v>
      </c>
      <c r="K299" s="121">
        <v>217.6</v>
      </c>
      <c r="L299" s="121">
        <v>0.82</v>
      </c>
    </row>
    <row r="300" spans="4:13">
      <c r="D300" s="119">
        <v>31</v>
      </c>
      <c r="E300" s="117">
        <f t="shared" si="24"/>
        <v>62</v>
      </c>
      <c r="H300" s="117">
        <f>H299*180/160</f>
        <v>15.525</v>
      </c>
      <c r="I300" s="117">
        <f>I299*180/160</f>
        <v>18.607499999999998</v>
      </c>
      <c r="J300" s="117">
        <f>J299*180/160</f>
        <v>4.1624999999999996</v>
      </c>
      <c r="K300" s="117">
        <f>K299*180/160</f>
        <v>244.8</v>
      </c>
      <c r="L300" s="117">
        <f>L299*180/160</f>
        <v>0.92249999999999999</v>
      </c>
    </row>
    <row r="301" spans="4:13">
      <c r="D301" s="119">
        <v>80</v>
      </c>
      <c r="E301" s="117">
        <f t="shared" si="24"/>
        <v>160</v>
      </c>
    </row>
    <row r="302" spans="4:13">
      <c r="D302" s="119">
        <v>1.6</v>
      </c>
      <c r="E302" s="117">
        <f t="shared" si="24"/>
        <v>3.2</v>
      </c>
    </row>
    <row r="303" spans="4:13">
      <c r="D303" s="119">
        <v>78</v>
      </c>
      <c r="E303" s="117">
        <f t="shared" si="24"/>
        <v>156</v>
      </c>
    </row>
    <row r="304" spans="4:13">
      <c r="D304" s="119">
        <v>1.6</v>
      </c>
      <c r="E304" s="117">
        <f t="shared" si="24"/>
        <v>3.2</v>
      </c>
      <c r="L304" s="124">
        <v>25</v>
      </c>
      <c r="M304" s="117">
        <f t="shared" ref="M304:M312" si="25">L304*50/60</f>
        <v>20.833333333333332</v>
      </c>
    </row>
    <row r="305" spans="3:13">
      <c r="D305" s="119">
        <v>80</v>
      </c>
      <c r="E305" s="117">
        <f t="shared" si="24"/>
        <v>160</v>
      </c>
      <c r="I305" s="118">
        <v>63</v>
      </c>
      <c r="J305" s="117">
        <f t="shared" ref="J305:J312" si="26">I305*60/150</f>
        <v>25.2</v>
      </c>
      <c r="L305" s="122">
        <v>62</v>
      </c>
      <c r="M305" s="117">
        <f t="shared" si="25"/>
        <v>51.666666666666664</v>
      </c>
    </row>
    <row r="306" spans="3:13">
      <c r="I306" s="119">
        <v>156</v>
      </c>
      <c r="J306" s="117">
        <f t="shared" si="26"/>
        <v>62.4</v>
      </c>
      <c r="L306" s="122">
        <v>5</v>
      </c>
      <c r="M306" s="117">
        <f t="shared" si="25"/>
        <v>4.166666666666667</v>
      </c>
    </row>
    <row r="307" spans="3:13">
      <c r="I307" s="119">
        <v>12</v>
      </c>
      <c r="J307" s="117">
        <f t="shared" si="26"/>
        <v>4.8</v>
      </c>
      <c r="L307" s="122">
        <v>2</v>
      </c>
      <c r="M307" s="117">
        <f t="shared" si="25"/>
        <v>1.6666666666666667</v>
      </c>
    </row>
    <row r="308" spans="3:13">
      <c r="I308" s="119">
        <v>4</v>
      </c>
      <c r="J308" s="117">
        <f t="shared" si="26"/>
        <v>1.6</v>
      </c>
      <c r="L308" s="122">
        <v>2</v>
      </c>
      <c r="M308" s="117">
        <f t="shared" si="25"/>
        <v>1.6666666666666667</v>
      </c>
    </row>
    <row r="309" spans="3:13">
      <c r="I309" s="119">
        <v>5</v>
      </c>
      <c r="J309" s="117">
        <f t="shared" si="26"/>
        <v>2</v>
      </c>
      <c r="L309" s="122">
        <v>92</v>
      </c>
      <c r="M309" s="117">
        <f t="shared" si="25"/>
        <v>76.666666666666671</v>
      </c>
    </row>
    <row r="310" spans="3:13">
      <c r="I310" s="119">
        <v>230</v>
      </c>
      <c r="J310" s="117">
        <f t="shared" si="26"/>
        <v>92</v>
      </c>
      <c r="L310" s="122">
        <v>2</v>
      </c>
      <c r="M310" s="117">
        <f t="shared" si="25"/>
        <v>1.6666666666666667</v>
      </c>
    </row>
    <row r="311" spans="3:13">
      <c r="I311" s="119">
        <v>5</v>
      </c>
      <c r="J311" s="117">
        <f t="shared" si="26"/>
        <v>2</v>
      </c>
      <c r="L311" s="122">
        <v>60</v>
      </c>
      <c r="M311" s="117">
        <f t="shared" si="25"/>
        <v>50</v>
      </c>
    </row>
    <row r="312" spans="3:13">
      <c r="I312" s="119">
        <v>150</v>
      </c>
      <c r="J312" s="117">
        <f t="shared" si="26"/>
        <v>60</v>
      </c>
      <c r="L312" s="119">
        <v>15</v>
      </c>
      <c r="M312" s="117">
        <f t="shared" si="25"/>
        <v>12.5</v>
      </c>
    </row>
    <row r="316" spans="3:13">
      <c r="C316" s="118">
        <v>46</v>
      </c>
      <c r="D316" s="117">
        <f t="shared" ref="D316:D326" si="27">C316*85/100</f>
        <v>39.1</v>
      </c>
      <c r="I316" s="124">
        <v>47</v>
      </c>
      <c r="J316" s="117">
        <f>I316*26/33</f>
        <v>37.030303030303031</v>
      </c>
    </row>
    <row r="317" spans="3:13">
      <c r="C317" s="119">
        <v>68</v>
      </c>
      <c r="D317" s="117">
        <f t="shared" si="27"/>
        <v>57.8</v>
      </c>
      <c r="I317" s="122">
        <v>51</v>
      </c>
      <c r="J317" s="117">
        <f>I317*26/33</f>
        <v>40.18181818181818</v>
      </c>
      <c r="L317" s="118">
        <v>77</v>
      </c>
      <c r="M317" s="117">
        <f>L317*30/53</f>
        <v>43.584905660377359</v>
      </c>
    </row>
    <row r="318" spans="3:13">
      <c r="C318" s="119">
        <v>35</v>
      </c>
      <c r="D318" s="117">
        <f t="shared" si="27"/>
        <v>29.75</v>
      </c>
      <c r="I318" s="122">
        <v>60</v>
      </c>
      <c r="J318" s="117">
        <f>I318*26/33</f>
        <v>47.272727272727273</v>
      </c>
      <c r="L318" s="119">
        <v>82</v>
      </c>
      <c r="M318" s="117">
        <f>L318*30/53</f>
        <v>46.415094339622641</v>
      </c>
    </row>
    <row r="319" spans="3:13">
      <c r="C319" s="119">
        <v>72</v>
      </c>
      <c r="D319" s="117">
        <f t="shared" si="27"/>
        <v>61.2</v>
      </c>
      <c r="I319" s="122">
        <v>49</v>
      </c>
      <c r="J319" s="117">
        <f>I319*26/33</f>
        <v>38.606060606060609</v>
      </c>
      <c r="L319" s="119">
        <v>96</v>
      </c>
      <c r="M319" s="117">
        <f>L319*30/53</f>
        <v>54.339622641509436</v>
      </c>
    </row>
    <row r="320" spans="3:13">
      <c r="C320" s="119">
        <v>39</v>
      </c>
      <c r="D320" s="117">
        <f t="shared" si="27"/>
        <v>33.15</v>
      </c>
      <c r="L320" s="119">
        <v>79</v>
      </c>
      <c r="M320" s="117">
        <f>L320*30/53</f>
        <v>44.716981132075475</v>
      </c>
    </row>
    <row r="321" spans="3:9">
      <c r="C321" s="119">
        <v>69</v>
      </c>
      <c r="D321" s="117">
        <f t="shared" si="27"/>
        <v>58.65</v>
      </c>
    </row>
    <row r="322" spans="3:9">
      <c r="C322" s="119">
        <v>32</v>
      </c>
      <c r="D322" s="117">
        <f t="shared" si="27"/>
        <v>27.2</v>
      </c>
    </row>
    <row r="323" spans="3:9">
      <c r="C323" s="119">
        <v>77</v>
      </c>
      <c r="D323" s="117">
        <f t="shared" si="27"/>
        <v>65.45</v>
      </c>
    </row>
    <row r="324" spans="3:9">
      <c r="C324" s="119">
        <v>95</v>
      </c>
      <c r="D324" s="117">
        <f t="shared" si="27"/>
        <v>80.75</v>
      </c>
    </row>
    <row r="325" spans="3:9">
      <c r="C325" s="119">
        <v>5</v>
      </c>
      <c r="D325" s="117">
        <f t="shared" si="27"/>
        <v>4.25</v>
      </c>
    </row>
    <row r="326" spans="3:9">
      <c r="C326" s="119">
        <v>100</v>
      </c>
      <c r="D326" s="117">
        <f t="shared" si="27"/>
        <v>85</v>
      </c>
    </row>
    <row r="329" spans="3:9">
      <c r="H329" s="124">
        <v>100</v>
      </c>
      <c r="I329" s="117">
        <f t="shared" ref="I329:I335" si="28">H329*180/160</f>
        <v>112.5</v>
      </c>
    </row>
    <row r="330" spans="3:9">
      <c r="H330" s="122">
        <v>62</v>
      </c>
      <c r="I330" s="117">
        <f t="shared" si="28"/>
        <v>69.75</v>
      </c>
    </row>
    <row r="331" spans="3:9">
      <c r="H331" s="122">
        <v>160</v>
      </c>
      <c r="I331" s="117">
        <f t="shared" si="28"/>
        <v>180</v>
      </c>
    </row>
    <row r="332" spans="3:9">
      <c r="H332" s="122">
        <v>3</v>
      </c>
      <c r="I332" s="117">
        <f t="shared" si="28"/>
        <v>3.375</v>
      </c>
    </row>
    <row r="333" spans="3:9">
      <c r="H333" s="122">
        <v>157</v>
      </c>
      <c r="I333" s="117">
        <f t="shared" si="28"/>
        <v>176.625</v>
      </c>
    </row>
    <row r="334" spans="3:9">
      <c r="H334" s="122">
        <v>3</v>
      </c>
      <c r="I334" s="117">
        <f t="shared" si="28"/>
        <v>3.375</v>
      </c>
    </row>
    <row r="335" spans="3:9">
      <c r="H335" s="122">
        <v>160</v>
      </c>
      <c r="I335" s="117">
        <f t="shared" si="28"/>
        <v>180</v>
      </c>
    </row>
    <row r="340" spans="3:14">
      <c r="J340" s="118">
        <v>1.5</v>
      </c>
      <c r="K340" s="117">
        <f t="shared" ref="K340:K348" si="29">J340*20/35</f>
        <v>0.8571428571428571</v>
      </c>
    </row>
    <row r="341" spans="3:14">
      <c r="J341" s="119">
        <v>1.5</v>
      </c>
      <c r="K341" s="117">
        <f t="shared" si="29"/>
        <v>0.8571428571428571</v>
      </c>
      <c r="M341" s="124">
        <v>19</v>
      </c>
      <c r="N341" s="117">
        <f>M341*160/150</f>
        <v>20.266666666666666</v>
      </c>
    </row>
    <row r="342" spans="3:14">
      <c r="C342" s="118">
        <v>0.5</v>
      </c>
      <c r="D342" s="120">
        <v>0</v>
      </c>
      <c r="E342" s="120">
        <v>23.51</v>
      </c>
      <c r="F342" s="120">
        <v>96.3</v>
      </c>
      <c r="G342" s="120">
        <v>0.45</v>
      </c>
      <c r="J342" s="119">
        <v>0.42</v>
      </c>
      <c r="K342" s="117">
        <f t="shared" si="29"/>
        <v>0.24000000000000002</v>
      </c>
      <c r="M342" s="122">
        <v>148</v>
      </c>
      <c r="N342" s="117">
        <f>M342*160/150</f>
        <v>157.86666666666667</v>
      </c>
    </row>
    <row r="343" spans="3:14">
      <c r="C343" s="117">
        <f>C342*200/180</f>
        <v>0.55555555555555558</v>
      </c>
      <c r="D343" s="117">
        <f>D342*200/180</f>
        <v>0</v>
      </c>
      <c r="E343" s="117">
        <f>E342*200/180</f>
        <v>26.122222222222224</v>
      </c>
      <c r="F343" s="117">
        <f>F342*200/180</f>
        <v>107</v>
      </c>
      <c r="G343" s="117">
        <f>G342*200/180</f>
        <v>0.5</v>
      </c>
      <c r="J343" s="119">
        <v>2.2999999999999998</v>
      </c>
      <c r="K343" s="117">
        <f t="shared" si="29"/>
        <v>1.3142857142857143</v>
      </c>
      <c r="M343" s="122">
        <v>8</v>
      </c>
      <c r="N343" s="117">
        <f>M343*160/150</f>
        <v>8.5333333333333332</v>
      </c>
    </row>
    <row r="344" spans="3:14">
      <c r="J344" s="119"/>
      <c r="K344" s="117">
        <f t="shared" si="29"/>
        <v>0</v>
      </c>
      <c r="M344" s="122">
        <v>150</v>
      </c>
      <c r="N344" s="117">
        <f>M344*160/150</f>
        <v>160</v>
      </c>
    </row>
    <row r="345" spans="3:14">
      <c r="J345" s="119">
        <v>7</v>
      </c>
      <c r="K345" s="117">
        <f t="shared" si="29"/>
        <v>4</v>
      </c>
    </row>
    <row r="346" spans="3:14">
      <c r="J346" s="119">
        <v>7</v>
      </c>
      <c r="K346" s="117">
        <f t="shared" si="29"/>
        <v>4</v>
      </c>
    </row>
    <row r="347" spans="3:14">
      <c r="E347" s="118">
        <v>55</v>
      </c>
      <c r="F347" s="117">
        <f>E347*30/45</f>
        <v>36.666666666666664</v>
      </c>
      <c r="J347" s="119">
        <v>35</v>
      </c>
      <c r="K347" s="117">
        <f t="shared" si="29"/>
        <v>20</v>
      </c>
    </row>
    <row r="348" spans="3:14">
      <c r="E348" s="119">
        <v>8</v>
      </c>
      <c r="F348" s="117">
        <f>E348*30/45</f>
        <v>5.333333333333333</v>
      </c>
      <c r="J348" s="119">
        <v>35</v>
      </c>
      <c r="K348" s="117">
        <f t="shared" si="29"/>
        <v>20</v>
      </c>
    </row>
    <row r="349" spans="3:14">
      <c r="E349" s="119">
        <v>4</v>
      </c>
      <c r="F349" s="117">
        <f>E349*30/45</f>
        <v>2.6666666666666665</v>
      </c>
    </row>
    <row r="350" spans="3:14">
      <c r="E350" s="119">
        <v>45</v>
      </c>
      <c r="F350" s="117">
        <f>E350*30/45</f>
        <v>30</v>
      </c>
    </row>
    <row r="365" spans="5:13">
      <c r="I365" s="118">
        <v>32</v>
      </c>
      <c r="J365" s="117">
        <f t="shared" ref="J365:J375" si="30">I365*50/70</f>
        <v>22.857142857142858</v>
      </c>
      <c r="L365" s="118">
        <v>28</v>
      </c>
      <c r="M365" s="117">
        <f t="shared" ref="M365:M375" si="31">L365*50/60</f>
        <v>23.333333333333332</v>
      </c>
    </row>
    <row r="366" spans="5:13">
      <c r="E366" s="118">
        <v>110</v>
      </c>
      <c r="F366" s="117">
        <f t="shared" ref="F366:F383" si="32">E366*150/180</f>
        <v>91.666666666666671</v>
      </c>
      <c r="I366" s="119">
        <v>2</v>
      </c>
      <c r="J366" s="117">
        <f t="shared" si="30"/>
        <v>1.4285714285714286</v>
      </c>
      <c r="L366" s="119">
        <v>1.7</v>
      </c>
      <c r="M366" s="117">
        <f t="shared" si="31"/>
        <v>1.4166666666666667</v>
      </c>
    </row>
    <row r="367" spans="5:13">
      <c r="E367" s="119">
        <v>138</v>
      </c>
      <c r="F367" s="117">
        <f t="shared" si="32"/>
        <v>115</v>
      </c>
      <c r="I367" s="119">
        <v>4</v>
      </c>
      <c r="J367" s="117">
        <f t="shared" si="30"/>
        <v>2.8571428571428572</v>
      </c>
      <c r="L367" s="119">
        <v>3</v>
      </c>
      <c r="M367" s="117">
        <f t="shared" si="31"/>
        <v>2.5</v>
      </c>
    </row>
    <row r="368" spans="5:13">
      <c r="E368" s="119"/>
      <c r="F368" s="117">
        <f t="shared" si="32"/>
        <v>0</v>
      </c>
      <c r="I368" s="119">
        <v>4</v>
      </c>
      <c r="J368" s="117">
        <f t="shared" si="30"/>
        <v>2.8571428571428572</v>
      </c>
      <c r="L368" s="119">
        <v>3</v>
      </c>
      <c r="M368" s="117">
        <f t="shared" si="31"/>
        <v>2.5</v>
      </c>
    </row>
    <row r="369" spans="5:13">
      <c r="E369" s="119"/>
      <c r="F369" s="117">
        <f t="shared" si="32"/>
        <v>0</v>
      </c>
      <c r="I369" s="119">
        <v>1.2</v>
      </c>
      <c r="J369" s="117">
        <f t="shared" si="30"/>
        <v>0.8571428571428571</v>
      </c>
      <c r="L369" s="119">
        <v>1</v>
      </c>
      <c r="M369" s="117">
        <f t="shared" si="31"/>
        <v>0.83333333333333337</v>
      </c>
    </row>
    <row r="370" spans="5:13">
      <c r="E370" s="119">
        <v>167</v>
      </c>
      <c r="F370" s="117">
        <f t="shared" si="32"/>
        <v>139.16666666666666</v>
      </c>
      <c r="I370" s="119">
        <v>16</v>
      </c>
      <c r="J370" s="117">
        <f t="shared" si="30"/>
        <v>11.428571428571429</v>
      </c>
      <c r="L370" s="119">
        <v>14</v>
      </c>
      <c r="M370" s="117">
        <f t="shared" si="31"/>
        <v>11.666666666666666</v>
      </c>
    </row>
    <row r="371" spans="5:13">
      <c r="E371" s="119">
        <v>180</v>
      </c>
      <c r="F371" s="117">
        <f t="shared" si="32"/>
        <v>150</v>
      </c>
      <c r="I371" s="119">
        <v>1</v>
      </c>
      <c r="J371" s="117">
        <f t="shared" si="30"/>
        <v>0.7142857142857143</v>
      </c>
      <c r="L371" s="119">
        <v>0.9</v>
      </c>
      <c r="M371" s="117">
        <f t="shared" si="31"/>
        <v>0.75</v>
      </c>
    </row>
    <row r="372" spans="5:13">
      <c r="E372" s="119">
        <v>194</v>
      </c>
      <c r="F372" s="117">
        <f t="shared" si="32"/>
        <v>161.66666666666666</v>
      </c>
      <c r="I372" s="119">
        <v>29</v>
      </c>
      <c r="J372" s="117">
        <f t="shared" si="30"/>
        <v>20.714285714285715</v>
      </c>
      <c r="L372" s="119">
        <v>25</v>
      </c>
      <c r="M372" s="117">
        <f t="shared" si="31"/>
        <v>20.833333333333332</v>
      </c>
    </row>
    <row r="373" spans="5:13">
      <c r="E373" s="119">
        <v>211</v>
      </c>
      <c r="F373" s="117">
        <f t="shared" si="32"/>
        <v>175.83333333333334</v>
      </c>
      <c r="I373" s="119">
        <v>1</v>
      </c>
      <c r="J373" s="117">
        <f t="shared" si="30"/>
        <v>0.7142857142857143</v>
      </c>
      <c r="L373" s="119">
        <v>0.9</v>
      </c>
      <c r="M373" s="117">
        <f t="shared" si="31"/>
        <v>0.75</v>
      </c>
    </row>
    <row r="374" spans="5:13">
      <c r="E374" s="119"/>
      <c r="F374" s="117">
        <f t="shared" si="32"/>
        <v>0</v>
      </c>
      <c r="I374" s="119">
        <v>1.5</v>
      </c>
      <c r="J374" s="117">
        <f t="shared" si="30"/>
        <v>1.0714285714285714</v>
      </c>
      <c r="L374" s="119">
        <v>1.3</v>
      </c>
      <c r="M374" s="117">
        <f t="shared" si="31"/>
        <v>1.0833333333333333</v>
      </c>
    </row>
    <row r="375" spans="5:13">
      <c r="E375" s="119"/>
      <c r="F375" s="117">
        <f t="shared" si="32"/>
        <v>0</v>
      </c>
      <c r="I375" s="119">
        <v>70</v>
      </c>
      <c r="J375" s="117">
        <f t="shared" si="30"/>
        <v>50</v>
      </c>
      <c r="L375" s="119">
        <v>60</v>
      </c>
      <c r="M375" s="117">
        <f t="shared" si="31"/>
        <v>50</v>
      </c>
    </row>
    <row r="376" spans="5:13">
      <c r="E376" s="119">
        <v>18</v>
      </c>
      <c r="F376" s="117">
        <f t="shared" si="32"/>
        <v>15</v>
      </c>
    </row>
    <row r="377" spans="5:13">
      <c r="E377" s="119">
        <v>19</v>
      </c>
      <c r="F377" s="117">
        <f t="shared" si="32"/>
        <v>15.833333333333334</v>
      </c>
    </row>
    <row r="378" spans="5:13">
      <c r="E378" s="119">
        <v>11</v>
      </c>
      <c r="F378" s="117">
        <f t="shared" si="32"/>
        <v>9.1666666666666661</v>
      </c>
    </row>
    <row r="379" spans="5:13">
      <c r="E379" s="119">
        <v>8</v>
      </c>
      <c r="F379" s="117">
        <f t="shared" si="32"/>
        <v>6.666666666666667</v>
      </c>
    </row>
    <row r="380" spans="5:13">
      <c r="E380" s="119">
        <v>4</v>
      </c>
      <c r="F380" s="117">
        <f t="shared" si="32"/>
        <v>3.3333333333333335</v>
      </c>
    </row>
    <row r="381" spans="5:13">
      <c r="E381" s="119">
        <v>2.4</v>
      </c>
      <c r="F381" s="117">
        <f t="shared" si="32"/>
        <v>2</v>
      </c>
    </row>
    <row r="382" spans="5:13">
      <c r="E382" s="119">
        <v>211</v>
      </c>
      <c r="F382" s="117">
        <f t="shared" si="32"/>
        <v>175.83333333333334</v>
      </c>
    </row>
    <row r="383" spans="5:13">
      <c r="E383" s="119">
        <v>180</v>
      </c>
      <c r="F383" s="117">
        <f t="shared" si="32"/>
        <v>150</v>
      </c>
    </row>
    <row r="386" spans="4:13">
      <c r="H386" s="118">
        <v>29</v>
      </c>
      <c r="I386" s="117">
        <f t="shared" ref="I386:I399" si="33">H386*50/70</f>
        <v>20.714285714285715</v>
      </c>
      <c r="L386" s="118">
        <v>29</v>
      </c>
      <c r="M386" s="117">
        <f t="shared" ref="M386:M402" si="34">L386*50/60</f>
        <v>24.166666666666668</v>
      </c>
    </row>
    <row r="387" spans="4:13">
      <c r="D387" s="118">
        <v>34</v>
      </c>
      <c r="E387" s="117">
        <f t="shared" ref="E387:E394" si="35">D387*21/25</f>
        <v>28.56</v>
      </c>
      <c r="H387" s="119">
        <v>3</v>
      </c>
      <c r="I387" s="117">
        <f t="shared" si="33"/>
        <v>2.1428571428571428</v>
      </c>
      <c r="L387" s="119">
        <v>3</v>
      </c>
      <c r="M387" s="117">
        <f t="shared" si="34"/>
        <v>2.5</v>
      </c>
    </row>
    <row r="388" spans="4:13">
      <c r="D388" s="119">
        <v>36</v>
      </c>
      <c r="E388" s="117">
        <f t="shared" si="35"/>
        <v>30.24</v>
      </c>
      <c r="H388" s="119">
        <v>3</v>
      </c>
      <c r="I388" s="117">
        <f t="shared" si="33"/>
        <v>2.1428571428571428</v>
      </c>
      <c r="L388" s="119">
        <v>3</v>
      </c>
      <c r="M388" s="117">
        <f t="shared" si="34"/>
        <v>2.5</v>
      </c>
    </row>
    <row r="389" spans="4:13">
      <c r="D389" s="119"/>
      <c r="E389" s="117">
        <f t="shared" si="35"/>
        <v>0</v>
      </c>
      <c r="H389" s="119">
        <v>1.7</v>
      </c>
      <c r="I389" s="117">
        <f t="shared" si="33"/>
        <v>1.2142857142857142</v>
      </c>
      <c r="L389" s="119">
        <v>1.7</v>
      </c>
      <c r="M389" s="117">
        <f t="shared" si="34"/>
        <v>1.4166666666666667</v>
      </c>
    </row>
    <row r="390" spans="4:13">
      <c r="D390" s="119">
        <v>0.7</v>
      </c>
      <c r="E390" s="117">
        <f t="shared" si="35"/>
        <v>0.58799999999999997</v>
      </c>
      <c r="H390" s="119">
        <v>1</v>
      </c>
      <c r="I390" s="117">
        <f t="shared" si="33"/>
        <v>0.7142857142857143</v>
      </c>
      <c r="L390" s="119">
        <v>1</v>
      </c>
      <c r="M390" s="117">
        <f t="shared" si="34"/>
        <v>0.83333333333333337</v>
      </c>
    </row>
    <row r="391" spans="4:13">
      <c r="D391" s="119">
        <v>0.7</v>
      </c>
      <c r="E391" s="117">
        <f t="shared" si="35"/>
        <v>0.58799999999999997</v>
      </c>
      <c r="H391" s="119">
        <v>12</v>
      </c>
      <c r="I391" s="117">
        <f t="shared" si="33"/>
        <v>8.5714285714285712</v>
      </c>
      <c r="L391" s="119">
        <v>12</v>
      </c>
      <c r="M391" s="117">
        <f t="shared" si="34"/>
        <v>10</v>
      </c>
    </row>
    <row r="392" spans="4:13">
      <c r="D392" s="119">
        <v>25</v>
      </c>
      <c r="E392" s="117">
        <f t="shared" si="35"/>
        <v>21</v>
      </c>
      <c r="H392" s="119">
        <v>46</v>
      </c>
      <c r="I392" s="117">
        <f t="shared" si="33"/>
        <v>32.857142857142854</v>
      </c>
      <c r="L392" s="119">
        <v>46</v>
      </c>
      <c r="M392" s="117">
        <f t="shared" si="34"/>
        <v>38.333333333333336</v>
      </c>
    </row>
    <row r="393" spans="4:13">
      <c r="D393" s="119">
        <v>0.7</v>
      </c>
      <c r="E393" s="117">
        <f t="shared" si="35"/>
        <v>0.58799999999999997</v>
      </c>
      <c r="H393" s="119">
        <v>1.7</v>
      </c>
      <c r="I393" s="117">
        <f t="shared" si="33"/>
        <v>1.2142857142857142</v>
      </c>
      <c r="L393" s="119">
        <v>1.7</v>
      </c>
      <c r="M393" s="117">
        <f t="shared" si="34"/>
        <v>1.4166666666666667</v>
      </c>
    </row>
    <row r="394" spans="4:13">
      <c r="D394" s="119">
        <v>25</v>
      </c>
      <c r="E394" s="117">
        <f t="shared" si="35"/>
        <v>21</v>
      </c>
      <c r="H394" s="119">
        <v>24</v>
      </c>
      <c r="I394" s="117">
        <f t="shared" si="33"/>
        <v>17.142857142857142</v>
      </c>
      <c r="L394" s="119">
        <v>24</v>
      </c>
      <c r="M394" s="117">
        <f t="shared" si="34"/>
        <v>20</v>
      </c>
    </row>
    <row r="395" spans="4:13">
      <c r="H395" s="119">
        <v>21.4</v>
      </c>
      <c r="I395" s="117">
        <f t="shared" si="33"/>
        <v>15.285714285714286</v>
      </c>
      <c r="L395" s="119">
        <v>21.4</v>
      </c>
      <c r="M395" s="117">
        <f t="shared" si="34"/>
        <v>17.833333333333332</v>
      </c>
    </row>
    <row r="396" spans="4:13">
      <c r="H396" s="119">
        <v>1.7</v>
      </c>
      <c r="I396" s="117">
        <f t="shared" si="33"/>
        <v>1.2142857142857142</v>
      </c>
      <c r="L396" s="119">
        <v>1.7</v>
      </c>
      <c r="M396" s="117">
        <f t="shared" si="34"/>
        <v>1.4166666666666667</v>
      </c>
    </row>
    <row r="397" spans="4:13">
      <c r="H397" s="119">
        <v>3</v>
      </c>
      <c r="I397" s="117">
        <f t="shared" si="33"/>
        <v>2.1428571428571428</v>
      </c>
      <c r="L397" s="119">
        <v>3</v>
      </c>
      <c r="M397" s="117">
        <f t="shared" si="34"/>
        <v>2.5</v>
      </c>
    </row>
    <row r="398" spans="4:13">
      <c r="H398" s="119">
        <v>1.7</v>
      </c>
      <c r="I398" s="117">
        <f t="shared" si="33"/>
        <v>1.2142857142857142</v>
      </c>
      <c r="L398" s="119">
        <v>1.7</v>
      </c>
      <c r="M398" s="117">
        <f t="shared" si="34"/>
        <v>1.4166666666666667</v>
      </c>
    </row>
    <row r="399" spans="4:13">
      <c r="H399" s="119">
        <v>2.3999999999999998E-3</v>
      </c>
      <c r="I399" s="117">
        <f t="shared" si="33"/>
        <v>1.7142857142857142E-3</v>
      </c>
      <c r="L399" s="119">
        <v>2.3999999999999998E-3</v>
      </c>
      <c r="M399" s="117">
        <f t="shared" si="34"/>
        <v>2E-3</v>
      </c>
    </row>
    <row r="400" spans="4:13">
      <c r="H400" s="119">
        <v>1.7</v>
      </c>
      <c r="L400" s="119">
        <v>1.7</v>
      </c>
      <c r="M400" s="117">
        <f t="shared" si="34"/>
        <v>1.4166666666666667</v>
      </c>
    </row>
    <row r="401" spans="5:13">
      <c r="H401" s="119">
        <v>0.9</v>
      </c>
      <c r="L401" s="119">
        <v>0.9</v>
      </c>
      <c r="M401" s="117">
        <f t="shared" si="34"/>
        <v>0.75</v>
      </c>
    </row>
    <row r="402" spans="5:13">
      <c r="H402" s="119">
        <v>60</v>
      </c>
      <c r="L402" s="119">
        <v>60</v>
      </c>
      <c r="M402" s="117">
        <f t="shared" si="34"/>
        <v>50</v>
      </c>
    </row>
    <row r="416" spans="5:13">
      <c r="E416" s="124">
        <v>69</v>
      </c>
      <c r="F416" s="117">
        <f t="shared" ref="F416:F427" si="36">E416*175/150</f>
        <v>80.5</v>
      </c>
    </row>
    <row r="417" spans="5:14">
      <c r="E417" s="122">
        <v>103</v>
      </c>
      <c r="F417" s="117">
        <f t="shared" si="36"/>
        <v>120.16666666666667</v>
      </c>
      <c r="J417" s="124">
        <v>160</v>
      </c>
      <c r="K417" s="117">
        <f>J417*215/141</f>
        <v>243.97163120567376</v>
      </c>
      <c r="M417" s="118">
        <v>170</v>
      </c>
      <c r="N417" s="117">
        <f t="shared" ref="N417:N424" si="37">M417*120/150</f>
        <v>136</v>
      </c>
    </row>
    <row r="418" spans="5:14">
      <c r="E418" s="122">
        <v>52</v>
      </c>
      <c r="F418" s="117">
        <f t="shared" si="36"/>
        <v>60.666666666666664</v>
      </c>
      <c r="J418" s="122">
        <v>203</v>
      </c>
      <c r="K418" s="117">
        <f>J418*215/141</f>
        <v>309.53900709219857</v>
      </c>
      <c r="M418" s="119">
        <v>183</v>
      </c>
      <c r="N418" s="117">
        <f t="shared" si="37"/>
        <v>146.4</v>
      </c>
    </row>
    <row r="419" spans="5:14">
      <c r="E419" s="122">
        <v>108</v>
      </c>
      <c r="F419" s="117">
        <f t="shared" si="36"/>
        <v>126</v>
      </c>
      <c r="J419" s="122">
        <v>217</v>
      </c>
      <c r="K419" s="117">
        <f>J419*215/141</f>
        <v>330.88652482269504</v>
      </c>
      <c r="M419" s="119">
        <v>197</v>
      </c>
      <c r="N419" s="117">
        <f t="shared" si="37"/>
        <v>157.6</v>
      </c>
    </row>
    <row r="420" spans="5:14">
      <c r="E420" s="122">
        <v>58</v>
      </c>
      <c r="F420" s="117">
        <f t="shared" si="36"/>
        <v>67.666666666666671</v>
      </c>
      <c r="J420" s="122">
        <v>236</v>
      </c>
      <c r="K420" s="117">
        <f>J420*215/141</f>
        <v>359.8581560283688</v>
      </c>
      <c r="M420" s="119">
        <v>214</v>
      </c>
      <c r="N420" s="117">
        <f t="shared" si="37"/>
        <v>171.2</v>
      </c>
    </row>
    <row r="421" spans="5:14">
      <c r="E421" s="122">
        <v>103</v>
      </c>
      <c r="F421" s="117">
        <f t="shared" si="36"/>
        <v>120.16666666666667</v>
      </c>
      <c r="M421" s="119">
        <v>24</v>
      </c>
      <c r="N421" s="117">
        <f t="shared" si="37"/>
        <v>19.2</v>
      </c>
    </row>
    <row r="422" spans="5:14">
      <c r="E422" s="122">
        <v>48</v>
      </c>
      <c r="F422" s="117">
        <f t="shared" si="36"/>
        <v>56</v>
      </c>
      <c r="M422" s="119">
        <v>23</v>
      </c>
      <c r="N422" s="117">
        <f t="shared" si="37"/>
        <v>18.399999999999999</v>
      </c>
    </row>
    <row r="423" spans="5:14">
      <c r="E423" s="122">
        <v>115</v>
      </c>
      <c r="F423" s="117">
        <f t="shared" si="36"/>
        <v>134.16666666666666</v>
      </c>
      <c r="M423" s="119">
        <v>5</v>
      </c>
      <c r="N423" s="117">
        <f t="shared" si="37"/>
        <v>4</v>
      </c>
    </row>
    <row r="424" spans="5:14">
      <c r="E424" s="122">
        <v>143</v>
      </c>
      <c r="F424" s="117">
        <f t="shared" si="36"/>
        <v>166.83333333333334</v>
      </c>
      <c r="M424" s="119">
        <v>150</v>
      </c>
      <c r="N424" s="117">
        <f t="shared" si="37"/>
        <v>120</v>
      </c>
    </row>
    <row r="425" spans="5:14">
      <c r="E425" s="122">
        <v>7</v>
      </c>
      <c r="F425" s="117">
        <f t="shared" si="36"/>
        <v>8.1666666666666661</v>
      </c>
      <c r="J425" s="124">
        <v>37</v>
      </c>
      <c r="K425" s="117">
        <f>J425*52/26</f>
        <v>74</v>
      </c>
    </row>
    <row r="426" spans="5:14">
      <c r="E426" s="122">
        <v>150</v>
      </c>
      <c r="F426" s="117">
        <f t="shared" si="36"/>
        <v>175</v>
      </c>
      <c r="J426" s="122">
        <v>40</v>
      </c>
      <c r="K426" s="117">
        <f>J426*52/26</f>
        <v>80</v>
      </c>
    </row>
    <row r="427" spans="5:14">
      <c r="F427" s="117">
        <f t="shared" si="36"/>
        <v>0</v>
      </c>
      <c r="J427" s="122">
        <v>47</v>
      </c>
      <c r="K427" s="117">
        <f>J427*52/26</f>
        <v>94</v>
      </c>
    </row>
    <row r="428" spans="5:14">
      <c r="J428" s="122">
        <v>39</v>
      </c>
      <c r="K428" s="117">
        <f>J428*52/26</f>
        <v>78</v>
      </c>
    </row>
    <row r="430" spans="5:14">
      <c r="E430" s="118">
        <v>46</v>
      </c>
      <c r="F430" s="117">
        <f>E430*50/60</f>
        <v>38.333333333333336</v>
      </c>
    </row>
    <row r="431" spans="5:14">
      <c r="E431" s="119">
        <v>10</v>
      </c>
      <c r="F431" s="117">
        <f>E431*50/60</f>
        <v>8.3333333333333339</v>
      </c>
      <c r="I431" s="124">
        <v>107</v>
      </c>
      <c r="J431" s="117">
        <f t="shared" ref="J431:J436" si="38">I431*40/35</f>
        <v>122.28571428571429</v>
      </c>
    </row>
    <row r="432" spans="5:14">
      <c r="E432" s="119">
        <v>5</v>
      </c>
      <c r="F432" s="117">
        <f>E432*50/60</f>
        <v>4.166666666666667</v>
      </c>
      <c r="I432" s="122">
        <v>107</v>
      </c>
      <c r="J432" s="117">
        <f t="shared" si="38"/>
        <v>122.28571428571429</v>
      </c>
    </row>
    <row r="433" spans="5:10">
      <c r="E433" s="119">
        <v>60</v>
      </c>
      <c r="F433" s="117">
        <f>E433*50/60</f>
        <v>50</v>
      </c>
      <c r="I433" s="122">
        <v>102</v>
      </c>
      <c r="J433" s="117">
        <f t="shared" si="38"/>
        <v>116.57142857142857</v>
      </c>
    </row>
    <row r="434" spans="5:10">
      <c r="F434" s="117">
        <f>E434*50/60</f>
        <v>0</v>
      </c>
      <c r="I434" s="122">
        <v>50</v>
      </c>
      <c r="J434" s="117">
        <f t="shared" si="38"/>
        <v>57.142857142857146</v>
      </c>
    </row>
    <row r="435" spans="5:10">
      <c r="I435" s="122">
        <v>66</v>
      </c>
      <c r="J435" s="117">
        <f t="shared" si="38"/>
        <v>75.428571428571431</v>
      </c>
    </row>
    <row r="436" spans="5:10">
      <c r="I436" s="122">
        <v>35</v>
      </c>
      <c r="J436" s="117">
        <f t="shared" si="38"/>
        <v>40</v>
      </c>
    </row>
    <row r="449" spans="7:12">
      <c r="G449" s="124">
        <v>122</v>
      </c>
      <c r="H449" s="117">
        <f t="shared" ref="H449:H464" si="39">G449*215/155</f>
        <v>169.2258064516129</v>
      </c>
    </row>
    <row r="450" spans="7:12">
      <c r="G450" s="122">
        <v>122</v>
      </c>
      <c r="H450" s="117">
        <f t="shared" si="39"/>
        <v>169.2258064516129</v>
      </c>
      <c r="K450" s="124">
        <v>25</v>
      </c>
      <c r="L450" s="117">
        <f t="shared" ref="L450:L457" si="40">K450*55/60</f>
        <v>22.916666666666668</v>
      </c>
    </row>
    <row r="451" spans="7:12">
      <c r="G451" s="122">
        <v>117</v>
      </c>
      <c r="H451" s="117">
        <f t="shared" si="39"/>
        <v>162.29032258064515</v>
      </c>
      <c r="K451" s="122">
        <v>62</v>
      </c>
      <c r="L451" s="117">
        <f t="shared" si="40"/>
        <v>56.833333333333336</v>
      </c>
    </row>
    <row r="452" spans="7:12">
      <c r="G452" s="122">
        <v>57</v>
      </c>
      <c r="H452" s="117">
        <f t="shared" si="39"/>
        <v>79.064516129032256</v>
      </c>
      <c r="K452" s="122">
        <v>5</v>
      </c>
      <c r="L452" s="117">
        <f t="shared" si="40"/>
        <v>4.583333333333333</v>
      </c>
    </row>
    <row r="453" spans="7:12">
      <c r="G453" s="122"/>
      <c r="H453" s="117">
        <f t="shared" si="39"/>
        <v>0</v>
      </c>
      <c r="K453" s="122">
        <v>2</v>
      </c>
      <c r="L453" s="117">
        <f t="shared" si="40"/>
        <v>1.8333333333333333</v>
      </c>
    </row>
    <row r="454" spans="7:12">
      <c r="G454" s="122"/>
      <c r="H454" s="117">
        <f t="shared" si="39"/>
        <v>0</v>
      </c>
      <c r="K454" s="122">
        <v>2</v>
      </c>
      <c r="L454" s="117">
        <f t="shared" si="40"/>
        <v>1.8333333333333333</v>
      </c>
    </row>
    <row r="455" spans="7:12">
      <c r="G455" s="122">
        <v>2</v>
      </c>
      <c r="H455" s="117">
        <f t="shared" si="39"/>
        <v>2.774193548387097</v>
      </c>
      <c r="K455" s="122">
        <v>92</v>
      </c>
      <c r="L455" s="117">
        <f t="shared" si="40"/>
        <v>84.333333333333329</v>
      </c>
    </row>
    <row r="456" spans="7:12">
      <c r="G456" s="122">
        <v>2</v>
      </c>
      <c r="H456" s="117">
        <f t="shared" si="39"/>
        <v>2.774193548387097</v>
      </c>
      <c r="K456" s="122">
        <v>2</v>
      </c>
      <c r="L456" s="117">
        <f t="shared" si="40"/>
        <v>1.8333333333333333</v>
      </c>
    </row>
    <row r="457" spans="7:12">
      <c r="G457" s="122">
        <v>11</v>
      </c>
      <c r="H457" s="117">
        <f t="shared" si="39"/>
        <v>15.258064516129032</v>
      </c>
      <c r="K457" s="122">
        <v>60</v>
      </c>
      <c r="L457" s="117">
        <f t="shared" si="40"/>
        <v>55</v>
      </c>
    </row>
    <row r="458" spans="7:12">
      <c r="G458" s="122"/>
      <c r="H458" s="117">
        <f t="shared" si="39"/>
        <v>0</v>
      </c>
    </row>
    <row r="459" spans="7:12">
      <c r="G459" s="122">
        <v>113</v>
      </c>
      <c r="H459" s="117">
        <f t="shared" si="39"/>
        <v>156.74193548387098</v>
      </c>
    </row>
    <row r="460" spans="7:12">
      <c r="G460" s="122">
        <v>14</v>
      </c>
      <c r="H460" s="117">
        <f t="shared" si="39"/>
        <v>19.419354838709676</v>
      </c>
      <c r="K460" s="118">
        <v>154</v>
      </c>
      <c r="L460" s="117">
        <f>K460*150/147</f>
        <v>157.14285714285714</v>
      </c>
    </row>
    <row r="461" spans="7:12">
      <c r="G461" s="122">
        <v>41</v>
      </c>
      <c r="H461" s="117">
        <f t="shared" si="39"/>
        <v>56.87096774193548</v>
      </c>
      <c r="K461" s="119">
        <v>147</v>
      </c>
      <c r="L461" s="117">
        <f>K461*150/147</f>
        <v>150</v>
      </c>
    </row>
    <row r="462" spans="7:12">
      <c r="G462" s="122">
        <v>85</v>
      </c>
      <c r="H462" s="117">
        <f t="shared" si="39"/>
        <v>117.90322580645162</v>
      </c>
      <c r="K462" s="119">
        <v>147</v>
      </c>
      <c r="L462" s="117">
        <f>K462*150/147</f>
        <v>150</v>
      </c>
    </row>
    <row r="463" spans="7:12">
      <c r="G463" s="122">
        <v>115</v>
      </c>
      <c r="H463" s="117">
        <f t="shared" si="39"/>
        <v>159.51612903225808</v>
      </c>
    </row>
    <row r="464" spans="7:12">
      <c r="G464" s="122">
        <v>155</v>
      </c>
      <c r="H464" s="117">
        <f t="shared" si="39"/>
        <v>215</v>
      </c>
    </row>
    <row r="470" spans="5:13">
      <c r="L470" s="118">
        <v>128</v>
      </c>
      <c r="M470" s="117">
        <f t="shared" ref="M470:M481" si="41">L470*180/200</f>
        <v>115.2</v>
      </c>
    </row>
    <row r="471" spans="5:13">
      <c r="L471" s="119">
        <v>137</v>
      </c>
      <c r="M471" s="117">
        <f t="shared" si="41"/>
        <v>123.3</v>
      </c>
    </row>
    <row r="472" spans="5:13">
      <c r="F472" s="118">
        <v>3.08</v>
      </c>
      <c r="G472" s="120">
        <v>2.58</v>
      </c>
      <c r="H472" s="120">
        <v>16.97</v>
      </c>
      <c r="I472" s="120">
        <v>112.8</v>
      </c>
      <c r="J472" s="120">
        <v>1.23</v>
      </c>
      <c r="L472" s="119">
        <v>148</v>
      </c>
      <c r="M472" s="117">
        <f t="shared" si="41"/>
        <v>133.19999999999999</v>
      </c>
    </row>
    <row r="473" spans="5:13">
      <c r="F473" s="125">
        <f>F472*180/200</f>
        <v>2.7719999999999998</v>
      </c>
      <c r="G473" s="125">
        <f>G472*180/200</f>
        <v>2.3220000000000001</v>
      </c>
      <c r="H473" s="125">
        <f>H472*180/200</f>
        <v>15.273</v>
      </c>
      <c r="I473" s="125">
        <f>I472*180/200</f>
        <v>101.52</v>
      </c>
      <c r="J473" s="125">
        <f>J472*180/200</f>
        <v>1.107</v>
      </c>
      <c r="L473" s="119">
        <v>160</v>
      </c>
      <c r="M473" s="117">
        <f t="shared" si="41"/>
        <v>144</v>
      </c>
    </row>
    <row r="474" spans="5:13">
      <c r="F474" s="125">
        <f>F473*150/180</f>
        <v>2.3099999999999996</v>
      </c>
      <c r="G474" s="125">
        <f>G473*150/180</f>
        <v>1.9350000000000001</v>
      </c>
      <c r="H474" s="125">
        <f>H473*150/180</f>
        <v>12.727499999999999</v>
      </c>
      <c r="I474" s="125">
        <f>I473*150/180</f>
        <v>84.6</v>
      </c>
      <c r="J474" s="125">
        <f>J473*150/180</f>
        <v>0.9225000000000001</v>
      </c>
      <c r="L474" s="119"/>
      <c r="M474" s="117">
        <f t="shared" si="41"/>
        <v>0</v>
      </c>
    </row>
    <row r="475" spans="5:13">
      <c r="L475" s="119">
        <v>40</v>
      </c>
      <c r="M475" s="117">
        <f t="shared" si="41"/>
        <v>36</v>
      </c>
    </row>
    <row r="476" spans="5:13">
      <c r="L476" s="119">
        <v>43</v>
      </c>
      <c r="M476" s="117">
        <f t="shared" si="41"/>
        <v>38.700000000000003</v>
      </c>
    </row>
    <row r="477" spans="5:13">
      <c r="L477" s="119">
        <v>19</v>
      </c>
      <c r="M477" s="117">
        <f t="shared" si="41"/>
        <v>17.100000000000001</v>
      </c>
    </row>
    <row r="478" spans="5:13">
      <c r="L478" s="119">
        <v>50</v>
      </c>
      <c r="M478" s="117">
        <f t="shared" si="41"/>
        <v>45</v>
      </c>
    </row>
    <row r="479" spans="5:13">
      <c r="E479" s="124">
        <v>115</v>
      </c>
      <c r="F479" s="117">
        <f t="shared" ref="F479:F490" si="42">E479*150/180</f>
        <v>95.833333333333329</v>
      </c>
      <c r="L479" s="119">
        <v>105</v>
      </c>
      <c r="M479" s="117">
        <f t="shared" si="41"/>
        <v>94.5</v>
      </c>
    </row>
    <row r="480" spans="5:13">
      <c r="E480" s="122">
        <v>123</v>
      </c>
      <c r="F480" s="117">
        <f t="shared" si="42"/>
        <v>102.5</v>
      </c>
      <c r="L480" s="119">
        <v>3</v>
      </c>
      <c r="M480" s="117">
        <f t="shared" si="41"/>
        <v>2.7</v>
      </c>
    </row>
    <row r="481" spans="5:13">
      <c r="E481" s="122">
        <v>133</v>
      </c>
      <c r="F481" s="117">
        <f t="shared" si="42"/>
        <v>110.83333333333333</v>
      </c>
      <c r="L481" s="119">
        <v>200</v>
      </c>
      <c r="M481" s="117">
        <f t="shared" si="41"/>
        <v>180</v>
      </c>
    </row>
    <row r="482" spans="5:13">
      <c r="E482" s="122">
        <v>144</v>
      </c>
      <c r="F482" s="117">
        <f t="shared" si="42"/>
        <v>120</v>
      </c>
    </row>
    <row r="483" spans="5:13">
      <c r="E483" s="122"/>
      <c r="F483" s="117">
        <f t="shared" si="42"/>
        <v>0</v>
      </c>
    </row>
    <row r="484" spans="5:13">
      <c r="E484" s="122">
        <v>36</v>
      </c>
      <c r="F484" s="117">
        <f t="shared" si="42"/>
        <v>30</v>
      </c>
    </row>
    <row r="485" spans="5:13">
      <c r="E485" s="122">
        <v>39</v>
      </c>
      <c r="F485" s="117">
        <f t="shared" si="42"/>
        <v>32.5</v>
      </c>
    </row>
    <row r="486" spans="5:13">
      <c r="E486" s="122">
        <v>17</v>
      </c>
      <c r="F486" s="117">
        <f t="shared" si="42"/>
        <v>14.166666666666666</v>
      </c>
    </row>
    <row r="487" spans="5:13">
      <c r="E487" s="122">
        <v>45</v>
      </c>
      <c r="F487" s="117">
        <f t="shared" si="42"/>
        <v>37.5</v>
      </c>
    </row>
    <row r="488" spans="5:13">
      <c r="E488" s="122">
        <v>95</v>
      </c>
      <c r="F488" s="117">
        <f t="shared" si="42"/>
        <v>79.166666666666671</v>
      </c>
    </row>
    <row r="489" spans="5:13">
      <c r="E489" s="122">
        <v>3</v>
      </c>
      <c r="F489" s="117">
        <f t="shared" si="42"/>
        <v>2.5</v>
      </c>
    </row>
    <row r="490" spans="5:13">
      <c r="E490" s="122">
        <v>180</v>
      </c>
      <c r="F490" s="117">
        <f t="shared" si="42"/>
        <v>150</v>
      </c>
    </row>
    <row r="502" spans="4:12">
      <c r="D502" s="126">
        <v>93</v>
      </c>
      <c r="E502" s="117">
        <f t="shared" ref="E502:E510" si="43">D502*45/70</f>
        <v>59.785714285714285</v>
      </c>
      <c r="H502" s="117">
        <v>6.17</v>
      </c>
      <c r="I502" s="117">
        <v>10.24</v>
      </c>
      <c r="J502" s="117">
        <v>19.3</v>
      </c>
      <c r="K502" s="117">
        <v>213.48</v>
      </c>
      <c r="L502" s="117">
        <v>2.97</v>
      </c>
    </row>
    <row r="503" spans="4:12">
      <c r="D503" s="127">
        <v>93</v>
      </c>
      <c r="E503" s="117">
        <f t="shared" si="43"/>
        <v>59.785714285714285</v>
      </c>
      <c r="H503" s="117">
        <v>0.02</v>
      </c>
      <c r="I503" s="117">
        <v>1.43</v>
      </c>
      <c r="J503" s="117">
        <v>0.03</v>
      </c>
      <c r="K503" s="117">
        <v>13</v>
      </c>
      <c r="L503" s="117">
        <v>0</v>
      </c>
    </row>
    <row r="504" spans="4:12">
      <c r="D504" s="127">
        <v>53</v>
      </c>
      <c r="E504" s="117">
        <f t="shared" si="43"/>
        <v>34.071428571428569</v>
      </c>
      <c r="H504" s="117">
        <f>H502+H503</f>
        <v>6.1899999999999995</v>
      </c>
      <c r="I504" s="117">
        <f>I502+I503</f>
        <v>11.67</v>
      </c>
      <c r="J504" s="117">
        <f>J502+J503</f>
        <v>19.330000000000002</v>
      </c>
      <c r="K504" s="117">
        <f>K502+K503</f>
        <v>226.48</v>
      </c>
      <c r="L504" s="117">
        <f>L502+L503</f>
        <v>2.97</v>
      </c>
    </row>
    <row r="505" spans="4:12">
      <c r="D505" s="127">
        <v>13</v>
      </c>
      <c r="E505" s="117">
        <f t="shared" si="43"/>
        <v>8.3571428571428577</v>
      </c>
    </row>
    <row r="506" spans="4:12">
      <c r="D506" s="127">
        <v>18</v>
      </c>
      <c r="E506" s="117">
        <f t="shared" si="43"/>
        <v>11.571428571428571</v>
      </c>
    </row>
    <row r="507" spans="4:12">
      <c r="D507" s="127"/>
      <c r="E507" s="117">
        <f t="shared" si="43"/>
        <v>0</v>
      </c>
    </row>
    <row r="508" spans="4:12">
      <c r="D508" s="127"/>
      <c r="E508" s="117">
        <f t="shared" si="43"/>
        <v>0</v>
      </c>
    </row>
    <row r="509" spans="4:12">
      <c r="D509" s="127">
        <v>5</v>
      </c>
      <c r="E509" s="117">
        <f t="shared" si="43"/>
        <v>3.2142857142857144</v>
      </c>
    </row>
    <row r="510" spans="4:12">
      <c r="D510" s="127">
        <v>70</v>
      </c>
      <c r="E510" s="117">
        <f t="shared" si="43"/>
        <v>45</v>
      </c>
    </row>
    <row r="519" spans="6:16">
      <c r="J519" s="128">
        <v>105</v>
      </c>
      <c r="K519" s="129">
        <v>139</v>
      </c>
      <c r="L519" s="129">
        <v>105</v>
      </c>
      <c r="O519" s="128">
        <v>105</v>
      </c>
      <c r="P519" s="117">
        <f t="shared" ref="P519:P533" si="44">O519*150/120</f>
        <v>131.25</v>
      </c>
    </row>
    <row r="520" spans="6:16">
      <c r="J520" s="130">
        <v>105</v>
      </c>
      <c r="K520" s="131">
        <v>150</v>
      </c>
      <c r="L520" s="131">
        <v>105</v>
      </c>
      <c r="O520" s="130">
        <v>105</v>
      </c>
      <c r="P520" s="117">
        <f t="shared" si="44"/>
        <v>131.25</v>
      </c>
    </row>
    <row r="521" spans="6:16">
      <c r="J521" s="130">
        <v>105</v>
      </c>
      <c r="K521" s="131">
        <v>162</v>
      </c>
      <c r="L521" s="131">
        <v>105</v>
      </c>
      <c r="O521" s="130">
        <v>105</v>
      </c>
      <c r="P521" s="117">
        <f t="shared" si="44"/>
        <v>131.25</v>
      </c>
    </row>
    <row r="522" spans="6:16">
      <c r="J522" s="130">
        <v>105</v>
      </c>
      <c r="K522" s="131">
        <v>176</v>
      </c>
      <c r="L522" s="131">
        <v>105</v>
      </c>
      <c r="O522" s="130">
        <v>105</v>
      </c>
      <c r="P522" s="117">
        <f t="shared" si="44"/>
        <v>131.25</v>
      </c>
    </row>
    <row r="523" spans="6:16">
      <c r="J523" s="130">
        <v>99</v>
      </c>
      <c r="K523" s="131"/>
      <c r="L523" s="131">
        <v>99</v>
      </c>
      <c r="O523" s="130">
        <v>99</v>
      </c>
      <c r="P523" s="117">
        <f t="shared" si="44"/>
        <v>123.75</v>
      </c>
    </row>
    <row r="524" spans="6:16">
      <c r="J524" s="130"/>
      <c r="K524" s="131"/>
      <c r="L524" s="131"/>
      <c r="O524" s="130"/>
      <c r="P524" s="117">
        <f t="shared" si="44"/>
        <v>0</v>
      </c>
    </row>
    <row r="525" spans="6:16">
      <c r="J525" s="130">
        <v>12</v>
      </c>
      <c r="K525" s="131">
        <v>15</v>
      </c>
      <c r="L525" s="131">
        <v>12</v>
      </c>
      <c r="O525" s="130">
        <v>12</v>
      </c>
      <c r="P525" s="117">
        <f t="shared" si="44"/>
        <v>15</v>
      </c>
    </row>
    <row r="526" spans="6:16">
      <c r="J526" s="130">
        <v>12</v>
      </c>
      <c r="K526" s="131">
        <v>16</v>
      </c>
      <c r="L526" s="131">
        <v>12</v>
      </c>
      <c r="O526" s="130">
        <v>12</v>
      </c>
      <c r="P526" s="117">
        <f t="shared" si="44"/>
        <v>15</v>
      </c>
    </row>
    <row r="527" spans="6:16">
      <c r="F527" s="128">
        <v>139</v>
      </c>
      <c r="G527" s="117">
        <f>F527*131/105</f>
        <v>173.41904761904763</v>
      </c>
      <c r="J527" s="130">
        <v>8</v>
      </c>
      <c r="K527" s="131">
        <v>9</v>
      </c>
      <c r="L527" s="131">
        <v>8</v>
      </c>
      <c r="O527" s="130">
        <v>8</v>
      </c>
      <c r="P527" s="117">
        <f t="shared" si="44"/>
        <v>10</v>
      </c>
    </row>
    <row r="528" spans="6:16">
      <c r="F528" s="130">
        <v>150</v>
      </c>
      <c r="G528" s="117">
        <f>F528*131/105</f>
        <v>187.14285714285714</v>
      </c>
      <c r="J528" s="130">
        <v>6</v>
      </c>
      <c r="K528" s="131">
        <v>6</v>
      </c>
      <c r="L528" s="131">
        <v>6</v>
      </c>
      <c r="O528" s="130">
        <v>6</v>
      </c>
      <c r="P528" s="117">
        <f t="shared" si="44"/>
        <v>7.5</v>
      </c>
    </row>
    <row r="529" spans="6:16" ht="36">
      <c r="F529" s="130">
        <v>162</v>
      </c>
      <c r="G529" s="117">
        <f>F529*131/105</f>
        <v>202.11428571428573</v>
      </c>
      <c r="J529" s="130">
        <v>3</v>
      </c>
      <c r="K529" s="132" t="s">
        <v>202</v>
      </c>
      <c r="L529" s="131">
        <v>3</v>
      </c>
      <c r="O529" s="130">
        <v>3</v>
      </c>
      <c r="P529" s="117">
        <f t="shared" si="44"/>
        <v>3.75</v>
      </c>
    </row>
    <row r="530" spans="6:16">
      <c r="F530" s="130">
        <v>176</v>
      </c>
      <c r="G530" s="117">
        <f>F530*131/105</f>
        <v>219.58095238095237</v>
      </c>
      <c r="J530" s="130">
        <v>2</v>
      </c>
      <c r="K530" s="132">
        <v>2</v>
      </c>
      <c r="L530" s="131">
        <v>2</v>
      </c>
      <c r="O530" s="130">
        <v>2</v>
      </c>
      <c r="P530" s="117">
        <f t="shared" si="44"/>
        <v>2.5</v>
      </c>
    </row>
    <row r="531" spans="6:16">
      <c r="J531" s="130">
        <v>176</v>
      </c>
      <c r="K531" s="132"/>
      <c r="L531" s="131">
        <v>176</v>
      </c>
      <c r="O531" s="130">
        <v>176</v>
      </c>
      <c r="P531" s="117">
        <f t="shared" si="44"/>
        <v>220</v>
      </c>
    </row>
    <row r="532" spans="6:16">
      <c r="J532" s="130">
        <v>150</v>
      </c>
      <c r="K532" s="132"/>
      <c r="L532" s="131">
        <v>150</v>
      </c>
      <c r="O532" s="130">
        <v>150</v>
      </c>
      <c r="P532" s="117">
        <f t="shared" si="44"/>
        <v>187.5</v>
      </c>
    </row>
    <row r="533" spans="6:16">
      <c r="J533" s="127">
        <v>150</v>
      </c>
      <c r="K533" s="132"/>
      <c r="L533" s="132">
        <v>150</v>
      </c>
      <c r="O533" s="127">
        <v>150</v>
      </c>
      <c r="P533" s="117">
        <f t="shared" si="44"/>
        <v>187.5</v>
      </c>
    </row>
    <row r="546" spans="6:12">
      <c r="K546" s="128">
        <v>141</v>
      </c>
      <c r="L546" s="117">
        <f t="shared" ref="L546:L556" si="45">K546*100/160</f>
        <v>88.125</v>
      </c>
    </row>
    <row r="547" spans="6:12">
      <c r="F547" s="128">
        <v>94</v>
      </c>
      <c r="G547" s="117">
        <f t="shared" ref="G547:G557" si="46">F547*160/107</f>
        <v>140.56074766355141</v>
      </c>
      <c r="K547" s="130">
        <v>151</v>
      </c>
      <c r="L547" s="117">
        <f t="shared" si="45"/>
        <v>94.375</v>
      </c>
    </row>
    <row r="548" spans="6:12">
      <c r="F548" s="130">
        <v>101</v>
      </c>
      <c r="G548" s="117">
        <f t="shared" si="46"/>
        <v>151.02803738317758</v>
      </c>
      <c r="K548" s="130">
        <v>163</v>
      </c>
      <c r="L548" s="117">
        <f t="shared" si="45"/>
        <v>101.875</v>
      </c>
    </row>
    <row r="549" spans="6:12">
      <c r="F549" s="130">
        <v>109</v>
      </c>
      <c r="G549" s="117">
        <f t="shared" si="46"/>
        <v>162.99065420560748</v>
      </c>
      <c r="K549" s="130">
        <v>176</v>
      </c>
      <c r="L549" s="117">
        <f t="shared" si="45"/>
        <v>110</v>
      </c>
    </row>
    <row r="550" spans="6:12">
      <c r="F550" s="130">
        <v>118</v>
      </c>
      <c r="G550" s="117">
        <f t="shared" si="46"/>
        <v>176.44859813084113</v>
      </c>
      <c r="K550" s="130">
        <v>15</v>
      </c>
      <c r="L550" s="117">
        <f t="shared" si="45"/>
        <v>9.375</v>
      </c>
    </row>
    <row r="551" spans="6:12">
      <c r="F551" s="130">
        <v>10</v>
      </c>
      <c r="G551" s="117">
        <f t="shared" si="46"/>
        <v>14.953271028037383</v>
      </c>
      <c r="K551" s="130">
        <v>6</v>
      </c>
      <c r="L551" s="117">
        <f t="shared" si="45"/>
        <v>3.75</v>
      </c>
    </row>
    <row r="552" spans="6:12">
      <c r="F552" s="130">
        <v>4</v>
      </c>
      <c r="G552" s="117">
        <f t="shared" si="46"/>
        <v>5.981308411214953</v>
      </c>
      <c r="K552" s="130">
        <v>1</v>
      </c>
      <c r="L552" s="117">
        <f t="shared" si="45"/>
        <v>0.625</v>
      </c>
    </row>
    <row r="553" spans="6:12">
      <c r="F553" s="130">
        <v>0.6</v>
      </c>
      <c r="G553" s="117">
        <f t="shared" si="46"/>
        <v>0.89719626168224298</v>
      </c>
      <c r="K553" s="130"/>
      <c r="L553" s="117">
        <f t="shared" si="45"/>
        <v>0</v>
      </c>
    </row>
    <row r="554" spans="6:12">
      <c r="F554" s="130"/>
      <c r="G554" s="117">
        <f t="shared" si="46"/>
        <v>0</v>
      </c>
      <c r="K554" s="130">
        <v>35</v>
      </c>
      <c r="L554" s="117">
        <f t="shared" si="45"/>
        <v>21.875</v>
      </c>
    </row>
    <row r="555" spans="6:12">
      <c r="F555" s="130">
        <v>24</v>
      </c>
      <c r="G555" s="117">
        <f t="shared" si="46"/>
        <v>35.887850467289717</v>
      </c>
      <c r="K555" s="130">
        <v>37</v>
      </c>
      <c r="L555" s="117">
        <f t="shared" si="45"/>
        <v>23.125</v>
      </c>
    </row>
    <row r="556" spans="6:12">
      <c r="F556" s="130">
        <v>25</v>
      </c>
      <c r="G556" s="117">
        <f t="shared" si="46"/>
        <v>37.383177570093459</v>
      </c>
      <c r="K556" s="130">
        <v>160</v>
      </c>
      <c r="L556" s="117">
        <f t="shared" si="45"/>
        <v>100</v>
      </c>
    </row>
    <row r="557" spans="6:12">
      <c r="F557" s="130">
        <v>107</v>
      </c>
      <c r="G557" s="117">
        <f t="shared" si="46"/>
        <v>160</v>
      </c>
    </row>
    <row r="561" spans="6:14">
      <c r="F561" s="128">
        <v>88</v>
      </c>
      <c r="G561" s="117">
        <f t="shared" ref="G561:G571" si="47">F561*120/100</f>
        <v>105.6</v>
      </c>
    </row>
    <row r="562" spans="6:14">
      <c r="F562" s="130">
        <v>94</v>
      </c>
      <c r="G562" s="117">
        <f t="shared" si="47"/>
        <v>112.8</v>
      </c>
    </row>
    <row r="563" spans="6:14">
      <c r="F563" s="130">
        <v>102</v>
      </c>
      <c r="G563" s="117">
        <f t="shared" si="47"/>
        <v>122.4</v>
      </c>
    </row>
    <row r="564" spans="6:14">
      <c r="F564" s="130">
        <v>110</v>
      </c>
      <c r="G564" s="117">
        <f t="shared" si="47"/>
        <v>132</v>
      </c>
    </row>
    <row r="565" spans="6:14">
      <c r="F565" s="130">
        <v>9</v>
      </c>
      <c r="G565" s="117">
        <f t="shared" si="47"/>
        <v>10.8</v>
      </c>
    </row>
    <row r="566" spans="6:14">
      <c r="F566" s="130">
        <v>4</v>
      </c>
      <c r="G566" s="117">
        <f t="shared" si="47"/>
        <v>4.8</v>
      </c>
    </row>
    <row r="567" spans="6:14">
      <c r="F567" s="130">
        <v>0.6</v>
      </c>
      <c r="G567" s="117">
        <f t="shared" si="47"/>
        <v>0.72</v>
      </c>
    </row>
    <row r="568" spans="6:14">
      <c r="F568" s="130"/>
      <c r="G568" s="117">
        <f t="shared" si="47"/>
        <v>0</v>
      </c>
    </row>
    <row r="569" spans="6:14">
      <c r="F569" s="130">
        <v>23</v>
      </c>
      <c r="G569" s="117">
        <f t="shared" si="47"/>
        <v>27.6</v>
      </c>
      <c r="J569" s="128">
        <v>113</v>
      </c>
      <c r="K569" s="117">
        <f t="shared" ref="K569:K576" si="48">J569*115/100</f>
        <v>129.94999999999999</v>
      </c>
      <c r="M569" s="128">
        <v>136</v>
      </c>
      <c r="N569" s="117">
        <f t="shared" ref="N569:N576" si="49">M569*150/120</f>
        <v>170</v>
      </c>
    </row>
    <row r="570" spans="6:14">
      <c r="F570" s="130">
        <v>24</v>
      </c>
      <c r="G570" s="117">
        <f t="shared" si="47"/>
        <v>28.8</v>
      </c>
      <c r="J570" s="130">
        <v>122</v>
      </c>
      <c r="K570" s="117">
        <f t="shared" si="48"/>
        <v>140.30000000000001</v>
      </c>
      <c r="M570" s="130">
        <v>146</v>
      </c>
      <c r="N570" s="117">
        <f t="shared" si="49"/>
        <v>182.5</v>
      </c>
    </row>
    <row r="571" spans="6:14">
      <c r="F571" s="130">
        <v>100</v>
      </c>
      <c r="G571" s="117">
        <f t="shared" si="47"/>
        <v>120</v>
      </c>
      <c r="J571" s="130">
        <v>132</v>
      </c>
      <c r="K571" s="117">
        <f t="shared" si="48"/>
        <v>151.80000000000001</v>
      </c>
      <c r="M571" s="130">
        <v>158</v>
      </c>
      <c r="N571" s="117">
        <f t="shared" si="49"/>
        <v>197.5</v>
      </c>
    </row>
    <row r="572" spans="6:14">
      <c r="J572" s="130">
        <v>142</v>
      </c>
      <c r="K572" s="117">
        <f t="shared" si="48"/>
        <v>163.30000000000001</v>
      </c>
      <c r="M572" s="130">
        <v>171</v>
      </c>
      <c r="N572" s="117">
        <f t="shared" si="49"/>
        <v>213.75</v>
      </c>
    </row>
    <row r="573" spans="6:14">
      <c r="J573" s="130">
        <v>16</v>
      </c>
      <c r="K573" s="117">
        <f t="shared" si="48"/>
        <v>18.399999999999999</v>
      </c>
      <c r="M573" s="130">
        <v>19</v>
      </c>
      <c r="N573" s="117">
        <f t="shared" si="49"/>
        <v>23.75</v>
      </c>
    </row>
    <row r="574" spans="6:14">
      <c r="J574" s="130">
        <v>15</v>
      </c>
      <c r="K574" s="117">
        <f t="shared" si="48"/>
        <v>17.25</v>
      </c>
      <c r="M574" s="127"/>
      <c r="N574" s="117">
        <f t="shared" si="49"/>
        <v>0</v>
      </c>
    </row>
    <row r="575" spans="6:14">
      <c r="J575" s="130">
        <v>3</v>
      </c>
      <c r="K575" s="117">
        <f t="shared" si="48"/>
        <v>3.45</v>
      </c>
      <c r="M575" s="127">
        <v>4</v>
      </c>
      <c r="N575" s="117">
        <f t="shared" si="49"/>
        <v>5</v>
      </c>
    </row>
    <row r="576" spans="6:14">
      <c r="J576" s="130">
        <v>100</v>
      </c>
      <c r="K576" s="117">
        <f t="shared" si="48"/>
        <v>115</v>
      </c>
      <c r="M576" s="130">
        <v>120</v>
      </c>
      <c r="N576" s="117">
        <f t="shared" si="49"/>
        <v>150</v>
      </c>
    </row>
    <row r="583" spans="5:12">
      <c r="E583" s="128">
        <v>91</v>
      </c>
      <c r="F583" s="117">
        <f t="shared" ref="F583:F598" si="50">E583*180/150</f>
        <v>109.2</v>
      </c>
    </row>
    <row r="584" spans="5:12">
      <c r="E584" s="130">
        <v>74</v>
      </c>
      <c r="F584" s="117">
        <f t="shared" si="50"/>
        <v>88.8</v>
      </c>
    </row>
    <row r="585" spans="5:12">
      <c r="E585" s="130"/>
      <c r="F585" s="117">
        <f t="shared" si="50"/>
        <v>0</v>
      </c>
    </row>
    <row r="586" spans="5:12">
      <c r="E586" s="130">
        <v>94</v>
      </c>
      <c r="F586" s="117">
        <f t="shared" si="50"/>
        <v>112.8</v>
      </c>
      <c r="K586" s="133">
        <v>48</v>
      </c>
      <c r="L586" s="117">
        <f t="shared" ref="L586:L595" si="51">K586*100/65</f>
        <v>73.84615384615384</v>
      </c>
    </row>
    <row r="587" spans="5:12">
      <c r="E587" s="130">
        <v>101</v>
      </c>
      <c r="F587" s="117">
        <f t="shared" si="50"/>
        <v>121.2</v>
      </c>
      <c r="K587" s="134">
        <v>12</v>
      </c>
      <c r="L587" s="117">
        <f t="shared" si="51"/>
        <v>18.46153846153846</v>
      </c>
    </row>
    <row r="588" spans="5:12">
      <c r="E588" s="130">
        <v>109</v>
      </c>
      <c r="F588" s="117">
        <f t="shared" si="50"/>
        <v>130.80000000000001</v>
      </c>
      <c r="K588" s="134">
        <v>16</v>
      </c>
      <c r="L588" s="117">
        <f t="shared" si="51"/>
        <v>24.615384615384617</v>
      </c>
    </row>
    <row r="589" spans="5:12">
      <c r="E589" s="130">
        <v>118</v>
      </c>
      <c r="F589" s="117">
        <f t="shared" si="50"/>
        <v>141.6</v>
      </c>
      <c r="K589" s="134">
        <v>2</v>
      </c>
      <c r="L589" s="117">
        <f t="shared" si="51"/>
        <v>3.0769230769230771</v>
      </c>
    </row>
    <row r="590" spans="5:12">
      <c r="E590" s="130">
        <v>10</v>
      </c>
      <c r="F590" s="117">
        <f t="shared" si="50"/>
        <v>12</v>
      </c>
      <c r="K590" s="134">
        <v>7</v>
      </c>
      <c r="L590" s="117">
        <f t="shared" si="51"/>
        <v>10.76923076923077</v>
      </c>
    </row>
    <row r="591" spans="5:12">
      <c r="E591" s="130">
        <v>4</v>
      </c>
      <c r="F591" s="117">
        <f t="shared" si="50"/>
        <v>4.8</v>
      </c>
      <c r="K591" s="134">
        <v>81</v>
      </c>
      <c r="L591" s="117">
        <f t="shared" si="51"/>
        <v>124.61538461538461</v>
      </c>
    </row>
    <row r="592" spans="5:12">
      <c r="E592" s="130">
        <v>0.6</v>
      </c>
      <c r="F592" s="117">
        <f t="shared" si="50"/>
        <v>0.72</v>
      </c>
      <c r="K592" s="134">
        <v>4</v>
      </c>
      <c r="L592" s="117">
        <f t="shared" si="51"/>
        <v>6.1538461538461542</v>
      </c>
    </row>
    <row r="593" spans="5:12">
      <c r="E593" s="130"/>
      <c r="F593" s="117">
        <f t="shared" si="50"/>
        <v>0</v>
      </c>
      <c r="K593" s="134">
        <v>3</v>
      </c>
      <c r="L593" s="117">
        <f t="shared" si="51"/>
        <v>4.615384615384615</v>
      </c>
    </row>
    <row r="594" spans="5:12">
      <c r="E594" s="130">
        <v>24</v>
      </c>
      <c r="F594" s="117">
        <f t="shared" si="50"/>
        <v>28.8</v>
      </c>
      <c r="K594" s="134">
        <v>65</v>
      </c>
      <c r="L594" s="117">
        <f t="shared" si="51"/>
        <v>100</v>
      </c>
    </row>
    <row r="595" spans="5:12">
      <c r="E595" s="130">
        <v>25</v>
      </c>
      <c r="F595" s="117">
        <f t="shared" si="50"/>
        <v>30</v>
      </c>
      <c r="K595" s="134">
        <v>65</v>
      </c>
      <c r="L595" s="117">
        <f t="shared" si="51"/>
        <v>100</v>
      </c>
    </row>
    <row r="596" spans="5:12">
      <c r="E596" s="130">
        <v>43</v>
      </c>
      <c r="F596" s="117">
        <f t="shared" si="50"/>
        <v>51.6</v>
      </c>
    </row>
    <row r="597" spans="5:12">
      <c r="E597" s="130">
        <v>107</v>
      </c>
      <c r="F597" s="117">
        <f t="shared" si="50"/>
        <v>128.4</v>
      </c>
    </row>
    <row r="598" spans="5:12">
      <c r="E598" s="130">
        <v>150</v>
      </c>
      <c r="F598" s="117">
        <f t="shared" si="50"/>
        <v>180</v>
      </c>
    </row>
    <row r="607" spans="5:12">
      <c r="J607" s="126">
        <v>35</v>
      </c>
      <c r="K607" s="117">
        <f t="shared" ref="K607:K614" si="52">J607*165/100</f>
        <v>57.75</v>
      </c>
    </row>
    <row r="608" spans="5:12">
      <c r="G608" s="128">
        <v>100</v>
      </c>
      <c r="H608" s="117">
        <f t="shared" ref="H608:H614" si="53">G608*130/160</f>
        <v>81.25</v>
      </c>
      <c r="J608" s="127">
        <v>212</v>
      </c>
      <c r="K608" s="117">
        <f t="shared" si="52"/>
        <v>349.8</v>
      </c>
    </row>
    <row r="609" spans="7:11">
      <c r="G609" s="130">
        <v>62</v>
      </c>
      <c r="H609" s="117">
        <f t="shared" si="53"/>
        <v>50.375</v>
      </c>
      <c r="J609" s="127">
        <v>100</v>
      </c>
      <c r="K609" s="117">
        <f t="shared" si="52"/>
        <v>165</v>
      </c>
    </row>
    <row r="610" spans="7:11">
      <c r="G610" s="130">
        <v>160</v>
      </c>
      <c r="H610" s="117">
        <f t="shared" si="53"/>
        <v>130</v>
      </c>
      <c r="J610" s="127">
        <v>4</v>
      </c>
      <c r="K610" s="117">
        <f t="shared" si="52"/>
        <v>6.6</v>
      </c>
    </row>
    <row r="611" spans="7:11">
      <c r="G611" s="130">
        <v>3</v>
      </c>
      <c r="H611" s="117">
        <f t="shared" si="53"/>
        <v>2.4375</v>
      </c>
      <c r="J611" s="127">
        <v>8</v>
      </c>
      <c r="K611" s="117">
        <f t="shared" si="52"/>
        <v>13.2</v>
      </c>
    </row>
    <row r="612" spans="7:11">
      <c r="G612" s="130">
        <v>157</v>
      </c>
      <c r="H612" s="117">
        <f t="shared" si="53"/>
        <v>127.5625</v>
      </c>
      <c r="J612" s="127">
        <v>112</v>
      </c>
      <c r="K612" s="117">
        <f t="shared" si="52"/>
        <v>184.8</v>
      </c>
    </row>
    <row r="613" spans="7:11">
      <c r="G613" s="130">
        <v>3</v>
      </c>
      <c r="H613" s="117">
        <f t="shared" si="53"/>
        <v>2.4375</v>
      </c>
      <c r="J613" s="127">
        <v>100</v>
      </c>
      <c r="K613" s="117">
        <f t="shared" si="52"/>
        <v>165</v>
      </c>
    </row>
    <row r="614" spans="7:11">
      <c r="G614" s="130">
        <v>160</v>
      </c>
      <c r="H614" s="117">
        <f t="shared" si="53"/>
        <v>130</v>
      </c>
      <c r="J614" s="127">
        <v>100</v>
      </c>
      <c r="K614" s="117">
        <f t="shared" si="52"/>
        <v>165</v>
      </c>
    </row>
    <row r="623" spans="7:11">
      <c r="J623" s="126">
        <v>2.5</v>
      </c>
      <c r="K623" s="117">
        <f t="shared" ref="K623:K631" si="54">J623*40/50</f>
        <v>2</v>
      </c>
    </row>
    <row r="624" spans="7:11">
      <c r="J624" s="127">
        <v>4</v>
      </c>
      <c r="K624" s="117">
        <f t="shared" si="54"/>
        <v>3.2</v>
      </c>
    </row>
    <row r="625" spans="10:11">
      <c r="J625" s="127">
        <v>7</v>
      </c>
      <c r="K625" s="117">
        <f t="shared" si="54"/>
        <v>5.6</v>
      </c>
    </row>
    <row r="626" spans="10:11">
      <c r="J626" s="127">
        <v>19</v>
      </c>
      <c r="K626" s="117">
        <f t="shared" si="54"/>
        <v>15.2</v>
      </c>
    </row>
    <row r="627" spans="10:11">
      <c r="J627" s="127">
        <v>23</v>
      </c>
      <c r="K627" s="117">
        <f t="shared" si="54"/>
        <v>18.399999999999999</v>
      </c>
    </row>
    <row r="628" spans="10:11">
      <c r="J628" s="127">
        <v>1.4</v>
      </c>
      <c r="K628" s="117">
        <f t="shared" si="54"/>
        <v>1.1200000000000001</v>
      </c>
    </row>
    <row r="629" spans="10:11">
      <c r="J629" s="127">
        <v>0.25</v>
      </c>
      <c r="K629" s="117">
        <f t="shared" si="54"/>
        <v>0.2</v>
      </c>
    </row>
    <row r="630" spans="10:11">
      <c r="J630" s="127">
        <v>50</v>
      </c>
      <c r="K630" s="117">
        <f t="shared" si="54"/>
        <v>40</v>
      </c>
    </row>
    <row r="631" spans="10:11">
      <c r="J631" s="127">
        <v>15</v>
      </c>
      <c r="K631" s="117">
        <f t="shared" si="54"/>
        <v>12</v>
      </c>
    </row>
    <row r="642" spans="5:14">
      <c r="E642" s="117">
        <v>4.67</v>
      </c>
      <c r="F642" s="117">
        <v>4.76</v>
      </c>
      <c r="G642" s="117">
        <v>17.63</v>
      </c>
      <c r="H642" s="117">
        <f>E642*4+F642*9+G642*4</f>
        <v>132.04</v>
      </c>
    </row>
    <row r="646" spans="5:14">
      <c r="F646" s="126">
        <v>25</v>
      </c>
      <c r="G646" s="117">
        <f t="shared" ref="G646:G657" si="55">F646*30/45</f>
        <v>16.666666666666668</v>
      </c>
      <c r="J646" s="126">
        <v>0.63</v>
      </c>
      <c r="K646" s="135">
        <v>5.09</v>
      </c>
      <c r="L646" s="135">
        <v>4.2300000000000004</v>
      </c>
      <c r="M646" s="135">
        <v>66</v>
      </c>
      <c r="N646" s="136">
        <v>4.9800000000000004</v>
      </c>
    </row>
    <row r="647" spans="5:14">
      <c r="F647" s="127">
        <v>28</v>
      </c>
      <c r="G647" s="117">
        <f t="shared" si="55"/>
        <v>18.666666666666668</v>
      </c>
      <c r="J647" s="125">
        <f>J646*30/45</f>
        <v>0.42</v>
      </c>
      <c r="K647" s="125">
        <f>K646*30/45</f>
        <v>3.3933333333333331</v>
      </c>
      <c r="L647" s="125">
        <f>L646*30/45</f>
        <v>2.8200000000000003</v>
      </c>
      <c r="M647" s="125">
        <f>M646*30/45</f>
        <v>44</v>
      </c>
      <c r="N647" s="125">
        <f>N646*30/45</f>
        <v>3.3200000000000003</v>
      </c>
    </row>
    <row r="648" spans="5:14">
      <c r="F648" s="127">
        <v>29</v>
      </c>
      <c r="G648" s="117">
        <f t="shared" si="55"/>
        <v>19.333333333333332</v>
      </c>
    </row>
    <row r="649" spans="5:14">
      <c r="F649" s="127">
        <v>32</v>
      </c>
      <c r="G649" s="117">
        <f t="shared" si="55"/>
        <v>21.333333333333332</v>
      </c>
    </row>
    <row r="650" spans="5:14">
      <c r="F650" s="127">
        <v>5</v>
      </c>
      <c r="G650" s="117">
        <f t="shared" si="55"/>
        <v>3.3333333333333335</v>
      </c>
    </row>
    <row r="651" spans="5:14">
      <c r="F651" s="127">
        <v>15</v>
      </c>
      <c r="G651" s="117">
        <f t="shared" si="55"/>
        <v>10</v>
      </c>
    </row>
    <row r="652" spans="5:14">
      <c r="F652" s="127"/>
      <c r="G652" s="117">
        <f t="shared" si="55"/>
        <v>0</v>
      </c>
    </row>
    <row r="653" spans="5:14">
      <c r="F653" s="127">
        <v>12.6</v>
      </c>
      <c r="G653" s="117">
        <f t="shared" si="55"/>
        <v>8.4</v>
      </c>
    </row>
    <row r="654" spans="5:14">
      <c r="F654" s="127">
        <v>13.4</v>
      </c>
      <c r="G654" s="117">
        <f t="shared" si="55"/>
        <v>8.9333333333333336</v>
      </c>
    </row>
    <row r="655" spans="5:14">
      <c r="F655" s="127">
        <v>10</v>
      </c>
      <c r="G655" s="117">
        <f t="shared" si="55"/>
        <v>6.666666666666667</v>
      </c>
    </row>
    <row r="656" spans="5:14">
      <c r="F656" s="127">
        <v>5</v>
      </c>
      <c r="G656" s="117">
        <f t="shared" si="55"/>
        <v>3.3333333333333335</v>
      </c>
    </row>
    <row r="657" spans="5:16">
      <c r="F657" s="127">
        <v>45</v>
      </c>
      <c r="G657" s="117">
        <f t="shared" si="55"/>
        <v>30</v>
      </c>
    </row>
    <row r="663" spans="5:16">
      <c r="O663" s="128">
        <v>80</v>
      </c>
      <c r="P663" s="117">
        <f t="shared" ref="P663:P669" si="56">O663*150/130</f>
        <v>92.307692307692307</v>
      </c>
    </row>
    <row r="664" spans="5:16">
      <c r="O664" s="130">
        <v>50</v>
      </c>
      <c r="P664" s="117">
        <f t="shared" si="56"/>
        <v>57.692307692307693</v>
      </c>
    </row>
    <row r="665" spans="5:16">
      <c r="E665" s="128">
        <v>12.9</v>
      </c>
      <c r="F665" s="129">
        <v>18.02</v>
      </c>
      <c r="G665" s="129">
        <v>3.5</v>
      </c>
      <c r="H665" s="129">
        <v>227</v>
      </c>
      <c r="I665" s="129">
        <v>0.35</v>
      </c>
      <c r="K665" s="126">
        <v>240</v>
      </c>
      <c r="L665" s="137">
        <f t="shared" ref="L665:L670" si="57">K665*200/180</f>
        <v>266.66666666666669</v>
      </c>
      <c r="O665" s="130">
        <v>130</v>
      </c>
      <c r="P665" s="117">
        <f t="shared" si="56"/>
        <v>150</v>
      </c>
    </row>
    <row r="666" spans="5:16">
      <c r="E666" s="125">
        <f>E665*130/150</f>
        <v>11.18</v>
      </c>
      <c r="F666" s="125">
        <f>F665*130/150</f>
        <v>15.617333333333333</v>
      </c>
      <c r="G666" s="125">
        <f>G665*130/150</f>
        <v>3.0333333333333332</v>
      </c>
      <c r="H666" s="125">
        <f>H665*130/150</f>
        <v>196.73333333333332</v>
      </c>
      <c r="I666" s="125">
        <f>I665*130/150</f>
        <v>0.30333333333333334</v>
      </c>
      <c r="K666" s="127">
        <v>256</v>
      </c>
      <c r="L666" s="137">
        <f t="shared" si="57"/>
        <v>284.44444444444446</v>
      </c>
      <c r="O666" s="130">
        <v>4</v>
      </c>
      <c r="P666" s="117">
        <f t="shared" si="56"/>
        <v>4.615384615384615</v>
      </c>
    </row>
    <row r="667" spans="5:16">
      <c r="K667" s="127">
        <v>2.5</v>
      </c>
      <c r="L667" s="137">
        <f t="shared" si="57"/>
        <v>2.7777777777777777</v>
      </c>
      <c r="O667" s="130">
        <v>126</v>
      </c>
      <c r="P667" s="117">
        <f t="shared" si="56"/>
        <v>145.38461538461539</v>
      </c>
    </row>
    <row r="668" spans="5:16">
      <c r="K668" s="127">
        <v>180</v>
      </c>
      <c r="L668" s="137">
        <f t="shared" si="57"/>
        <v>200</v>
      </c>
      <c r="O668" s="130">
        <v>4</v>
      </c>
      <c r="P668" s="117">
        <f t="shared" si="56"/>
        <v>4.615384615384615</v>
      </c>
    </row>
    <row r="669" spans="5:16">
      <c r="K669" s="127">
        <v>2.5</v>
      </c>
      <c r="L669" s="137">
        <f t="shared" si="57"/>
        <v>2.7777777777777777</v>
      </c>
      <c r="O669" s="130">
        <v>130</v>
      </c>
      <c r="P669" s="117">
        <f t="shared" si="56"/>
        <v>150</v>
      </c>
    </row>
    <row r="670" spans="5:16">
      <c r="E670" s="126">
        <v>192</v>
      </c>
      <c r="F670" s="117">
        <f>E670*200/180</f>
        <v>213.33333333333334</v>
      </c>
      <c r="K670" s="130">
        <v>30</v>
      </c>
      <c r="L670" s="137">
        <f t="shared" si="57"/>
        <v>33.333333333333336</v>
      </c>
    </row>
    <row r="671" spans="5:16">
      <c r="E671" s="127">
        <v>192</v>
      </c>
    </row>
    <row r="672" spans="5:16">
      <c r="E672" s="127">
        <v>2.5</v>
      </c>
    </row>
    <row r="673" spans="4:14">
      <c r="E673" s="127">
        <v>180</v>
      </c>
    </row>
    <row r="674" spans="4:14">
      <c r="E674" s="127">
        <v>2.5</v>
      </c>
      <c r="M674" s="126">
        <v>91</v>
      </c>
      <c r="N674" s="117">
        <f t="shared" ref="N674:N691" si="58">M674*80/100</f>
        <v>72.8</v>
      </c>
    </row>
    <row r="675" spans="4:14">
      <c r="G675" s="128">
        <v>12.9</v>
      </c>
      <c r="H675" s="129">
        <v>18.02</v>
      </c>
      <c r="I675" s="129">
        <v>3.5</v>
      </c>
      <c r="J675" s="129">
        <v>227</v>
      </c>
      <c r="K675" s="129">
        <v>0.35</v>
      </c>
      <c r="M675" s="127">
        <v>112</v>
      </c>
      <c r="N675" s="117">
        <f t="shared" si="58"/>
        <v>89.6</v>
      </c>
    </row>
    <row r="676" spans="4:14">
      <c r="G676" s="125">
        <f>G675*160/150</f>
        <v>13.76</v>
      </c>
      <c r="H676" s="125">
        <f>H675*160/150</f>
        <v>19.221333333333334</v>
      </c>
      <c r="I676" s="125">
        <f>I675*160/150</f>
        <v>3.7333333333333334</v>
      </c>
      <c r="J676" s="125">
        <f>J675*160/150</f>
        <v>242.13333333333333</v>
      </c>
      <c r="K676" s="125">
        <f>K675*160/150</f>
        <v>0.37333333333333335</v>
      </c>
      <c r="M676" s="127"/>
      <c r="N676" s="117">
        <f t="shared" si="58"/>
        <v>0</v>
      </c>
    </row>
    <row r="677" spans="4:14">
      <c r="M677" s="127">
        <v>5</v>
      </c>
      <c r="N677" s="117">
        <f t="shared" si="58"/>
        <v>4</v>
      </c>
    </row>
    <row r="678" spans="4:14">
      <c r="M678" s="127">
        <v>5.3</v>
      </c>
      <c r="N678" s="117">
        <f t="shared" si="58"/>
        <v>4.24</v>
      </c>
    </row>
    <row r="679" spans="4:14">
      <c r="M679" s="127">
        <v>2.2999999999999998</v>
      </c>
      <c r="N679" s="117">
        <f t="shared" si="58"/>
        <v>1.84</v>
      </c>
    </row>
    <row r="680" spans="4:14">
      <c r="M680" s="127"/>
      <c r="N680" s="117">
        <f t="shared" si="58"/>
        <v>0</v>
      </c>
    </row>
    <row r="681" spans="4:14">
      <c r="M681" s="127"/>
      <c r="N681" s="117">
        <f t="shared" si="58"/>
        <v>0</v>
      </c>
    </row>
    <row r="682" spans="4:14">
      <c r="M682" s="127">
        <v>5</v>
      </c>
      <c r="N682" s="117">
        <f t="shared" si="58"/>
        <v>4</v>
      </c>
    </row>
    <row r="683" spans="4:14">
      <c r="M683" s="127">
        <v>5.4</v>
      </c>
      <c r="N683" s="117">
        <f t="shared" si="58"/>
        <v>4.32</v>
      </c>
    </row>
    <row r="684" spans="4:14">
      <c r="M684" s="127"/>
      <c r="N684" s="117">
        <f t="shared" si="58"/>
        <v>0</v>
      </c>
    </row>
    <row r="685" spans="4:14">
      <c r="M685" s="127"/>
      <c r="N685" s="117">
        <f t="shared" si="58"/>
        <v>0</v>
      </c>
    </row>
    <row r="686" spans="4:14">
      <c r="M686" s="127">
        <v>2</v>
      </c>
      <c r="N686" s="117">
        <f t="shared" si="58"/>
        <v>1.6</v>
      </c>
    </row>
    <row r="687" spans="4:14">
      <c r="D687" s="128">
        <v>92</v>
      </c>
      <c r="E687" s="117">
        <f t="shared" ref="E687:E693" si="59">D687*160/150</f>
        <v>98.13333333333334</v>
      </c>
      <c r="M687" s="127">
        <v>2</v>
      </c>
      <c r="N687" s="117">
        <f t="shared" si="58"/>
        <v>1.6</v>
      </c>
    </row>
    <row r="688" spans="4:14">
      <c r="D688" s="130">
        <v>58</v>
      </c>
      <c r="E688" s="117">
        <f t="shared" si="59"/>
        <v>61.866666666666667</v>
      </c>
      <c r="M688" s="127">
        <v>38</v>
      </c>
      <c r="N688" s="117">
        <f t="shared" si="58"/>
        <v>30.4</v>
      </c>
    </row>
    <row r="689" spans="4:14">
      <c r="D689" s="130">
        <v>150</v>
      </c>
      <c r="E689" s="117">
        <f t="shared" si="59"/>
        <v>160</v>
      </c>
      <c r="M689" s="127"/>
      <c r="N689" s="117">
        <f t="shared" si="58"/>
        <v>0</v>
      </c>
    </row>
    <row r="690" spans="4:14">
      <c r="D690" s="130">
        <v>5</v>
      </c>
      <c r="E690" s="117">
        <f t="shared" si="59"/>
        <v>5.333333333333333</v>
      </c>
      <c r="M690" s="127">
        <v>13</v>
      </c>
      <c r="N690" s="117">
        <f t="shared" si="58"/>
        <v>10.4</v>
      </c>
    </row>
    <row r="691" spans="4:14">
      <c r="D691" s="130">
        <v>145</v>
      </c>
      <c r="E691" s="117">
        <f t="shared" si="59"/>
        <v>154.66666666666666</v>
      </c>
      <c r="M691" s="127" t="s">
        <v>200</v>
      </c>
      <c r="N691" s="117" t="e">
        <f t="shared" si="58"/>
        <v>#VALUE!</v>
      </c>
    </row>
    <row r="692" spans="4:14">
      <c r="D692" s="130">
        <v>5</v>
      </c>
      <c r="E692" s="117">
        <f t="shared" si="59"/>
        <v>5.333333333333333</v>
      </c>
      <c r="G692" s="126">
        <v>28</v>
      </c>
      <c r="H692" s="117">
        <f>G692*29/33</f>
        <v>24.606060606060606</v>
      </c>
    </row>
    <row r="693" spans="4:14">
      <c r="D693" s="130">
        <v>150</v>
      </c>
      <c r="E693" s="117">
        <f t="shared" si="59"/>
        <v>160</v>
      </c>
      <c r="G693" s="127">
        <v>6</v>
      </c>
      <c r="H693" s="117">
        <f>G693*29/33</f>
        <v>5.2727272727272725</v>
      </c>
    </row>
    <row r="694" spans="4:14">
      <c r="G694" s="127">
        <v>33</v>
      </c>
      <c r="H694" s="117">
        <f>G694*29/33</f>
        <v>29</v>
      </c>
    </row>
    <row r="695" spans="4:14">
      <c r="J695" s="118">
        <v>20.7</v>
      </c>
      <c r="K695" s="120">
        <v>19.7</v>
      </c>
      <c r="L695" s="120">
        <v>31.7</v>
      </c>
      <c r="M695" s="120">
        <v>387</v>
      </c>
      <c r="N695" s="120">
        <v>0.7</v>
      </c>
    </row>
    <row r="696" spans="4:14">
      <c r="J696" s="117">
        <f>J695*100/150</f>
        <v>13.8</v>
      </c>
      <c r="K696" s="117">
        <f>K695*100/150</f>
        <v>13.133333333333333</v>
      </c>
      <c r="L696" s="117">
        <f>L695*100/150</f>
        <v>21.133333333333333</v>
      </c>
      <c r="M696" s="117">
        <f>M695*100/150</f>
        <v>258</v>
      </c>
      <c r="N696" s="117">
        <f>N695*100/150</f>
        <v>0.46666666666666667</v>
      </c>
    </row>
    <row r="701" spans="4:14">
      <c r="G701" s="118">
        <v>20.7</v>
      </c>
      <c r="H701" s="120">
        <v>19.7</v>
      </c>
      <c r="I701" s="120">
        <v>31.7</v>
      </c>
      <c r="J701" s="120">
        <v>387</v>
      </c>
      <c r="K701" s="120">
        <v>0.7</v>
      </c>
    </row>
    <row r="705" spans="3:15">
      <c r="K705" s="124">
        <v>123</v>
      </c>
      <c r="L705" s="117">
        <f t="shared" ref="L705:L719" si="60">K705*60/80</f>
        <v>92.25</v>
      </c>
      <c r="N705" s="118">
        <v>86</v>
      </c>
      <c r="O705" s="117">
        <f t="shared" ref="O705:O717" si="61">N705*230/180</f>
        <v>109.88888888888889</v>
      </c>
    </row>
    <row r="706" spans="3:15">
      <c r="H706" s="118">
        <v>5</v>
      </c>
      <c r="I706" s="117">
        <f t="shared" ref="I706:I715" si="62">H706*100/150</f>
        <v>3.3333333333333335</v>
      </c>
      <c r="K706" s="122">
        <v>123</v>
      </c>
      <c r="L706" s="117">
        <f t="shared" si="60"/>
        <v>92.25</v>
      </c>
      <c r="N706" s="119">
        <v>86</v>
      </c>
      <c r="O706" s="117">
        <f t="shared" si="61"/>
        <v>109.88888888888889</v>
      </c>
    </row>
    <row r="707" spans="3:15">
      <c r="C707" s="117">
        <v>86</v>
      </c>
      <c r="D707" s="117">
        <f t="shared" ref="D707:D719" si="63">C707*230/180</f>
        <v>109.88888888888889</v>
      </c>
      <c r="H707" s="119">
        <v>4</v>
      </c>
      <c r="I707" s="117">
        <f t="shared" si="62"/>
        <v>2.6666666666666665</v>
      </c>
      <c r="K707" s="122">
        <v>88</v>
      </c>
      <c r="L707" s="117">
        <f t="shared" si="60"/>
        <v>66</v>
      </c>
      <c r="N707" s="119">
        <v>86</v>
      </c>
      <c r="O707" s="117">
        <f t="shared" si="61"/>
        <v>109.88888888888889</v>
      </c>
    </row>
    <row r="708" spans="3:15">
      <c r="C708" s="117">
        <v>86</v>
      </c>
      <c r="D708" s="117">
        <f t="shared" si="63"/>
        <v>109.88888888888889</v>
      </c>
      <c r="H708" s="119">
        <v>10</v>
      </c>
      <c r="I708" s="117">
        <f t="shared" si="62"/>
        <v>6.666666666666667</v>
      </c>
      <c r="K708" s="122">
        <v>47</v>
      </c>
      <c r="L708" s="117">
        <f t="shared" si="60"/>
        <v>35.25</v>
      </c>
      <c r="N708" s="119">
        <v>86</v>
      </c>
      <c r="O708" s="117">
        <f t="shared" si="61"/>
        <v>109.88888888888889</v>
      </c>
    </row>
    <row r="709" spans="3:15">
      <c r="C709" s="117">
        <v>86</v>
      </c>
      <c r="D709" s="117">
        <f t="shared" si="63"/>
        <v>109.88888888888889</v>
      </c>
      <c r="H709" s="119">
        <v>11</v>
      </c>
      <c r="I709" s="117">
        <f t="shared" si="62"/>
        <v>7.333333333333333</v>
      </c>
      <c r="K709" s="122">
        <v>4</v>
      </c>
      <c r="L709" s="117">
        <f t="shared" si="60"/>
        <v>3</v>
      </c>
      <c r="N709" s="119"/>
      <c r="O709" s="117">
        <f t="shared" si="61"/>
        <v>0</v>
      </c>
    </row>
    <row r="710" spans="3:15">
      <c r="C710" s="117">
        <v>86</v>
      </c>
      <c r="D710" s="117">
        <f t="shared" si="63"/>
        <v>109.88888888888889</v>
      </c>
      <c r="H710" s="119">
        <v>15</v>
      </c>
      <c r="I710" s="117">
        <f t="shared" si="62"/>
        <v>10</v>
      </c>
      <c r="K710" s="122">
        <v>5</v>
      </c>
      <c r="L710" s="117">
        <f t="shared" si="60"/>
        <v>3.75</v>
      </c>
      <c r="N710" s="119">
        <v>29</v>
      </c>
      <c r="O710" s="117">
        <f t="shared" si="61"/>
        <v>37.055555555555557</v>
      </c>
    </row>
    <row r="711" spans="3:15">
      <c r="D711" s="117">
        <f t="shared" si="63"/>
        <v>0</v>
      </c>
      <c r="H711" s="119">
        <v>4.5</v>
      </c>
      <c r="I711" s="117">
        <f t="shared" si="62"/>
        <v>3</v>
      </c>
      <c r="K711" s="122">
        <v>6</v>
      </c>
      <c r="L711" s="117">
        <f t="shared" si="60"/>
        <v>4.5</v>
      </c>
      <c r="N711" s="119">
        <v>29</v>
      </c>
      <c r="O711" s="117">
        <f t="shared" si="61"/>
        <v>37.055555555555557</v>
      </c>
    </row>
    <row r="712" spans="3:15">
      <c r="C712" s="117">
        <v>29</v>
      </c>
      <c r="D712" s="117">
        <f t="shared" si="63"/>
        <v>37.055555555555557</v>
      </c>
      <c r="H712" s="119">
        <v>3.7</v>
      </c>
      <c r="I712" s="117">
        <f t="shared" si="62"/>
        <v>2.4666666666666668</v>
      </c>
      <c r="K712" s="122">
        <v>1.5</v>
      </c>
      <c r="L712" s="117">
        <f t="shared" si="60"/>
        <v>1.125</v>
      </c>
      <c r="N712" s="119">
        <v>14</v>
      </c>
      <c r="O712" s="117">
        <f t="shared" si="61"/>
        <v>17.888888888888889</v>
      </c>
    </row>
    <row r="713" spans="3:15">
      <c r="C713" s="117">
        <v>29</v>
      </c>
      <c r="D713" s="117">
        <f t="shared" si="63"/>
        <v>37.055555555555557</v>
      </c>
      <c r="H713" s="119">
        <v>3.7</v>
      </c>
      <c r="I713" s="117">
        <f t="shared" si="62"/>
        <v>2.4666666666666668</v>
      </c>
      <c r="K713" s="122">
        <v>0.6</v>
      </c>
      <c r="L713" s="117">
        <f t="shared" si="60"/>
        <v>0.45</v>
      </c>
      <c r="N713" s="119">
        <v>36</v>
      </c>
      <c r="O713" s="117">
        <f t="shared" si="61"/>
        <v>46</v>
      </c>
    </row>
    <row r="714" spans="3:15">
      <c r="C714" s="117">
        <v>14</v>
      </c>
      <c r="D714" s="117">
        <f t="shared" si="63"/>
        <v>17.888888888888889</v>
      </c>
      <c r="H714" s="119">
        <v>150</v>
      </c>
      <c r="I714" s="117">
        <f t="shared" si="62"/>
        <v>100</v>
      </c>
      <c r="K714" s="122">
        <v>3</v>
      </c>
      <c r="L714" s="117">
        <f t="shared" si="60"/>
        <v>2.25</v>
      </c>
      <c r="N714" s="119">
        <v>95</v>
      </c>
      <c r="O714" s="117">
        <f t="shared" si="61"/>
        <v>121.38888888888889</v>
      </c>
    </row>
    <row r="715" spans="3:15">
      <c r="C715" s="117">
        <v>36</v>
      </c>
      <c r="D715" s="117">
        <f t="shared" si="63"/>
        <v>46</v>
      </c>
      <c r="H715" s="119">
        <v>150</v>
      </c>
      <c r="I715" s="117">
        <f t="shared" si="62"/>
        <v>100</v>
      </c>
      <c r="K715" s="122"/>
      <c r="L715" s="117">
        <f t="shared" si="60"/>
        <v>0</v>
      </c>
      <c r="N715" s="119">
        <v>3</v>
      </c>
      <c r="O715" s="117">
        <f t="shared" si="61"/>
        <v>3.8333333333333335</v>
      </c>
    </row>
    <row r="716" spans="3:15">
      <c r="C716" s="117">
        <v>95</v>
      </c>
      <c r="D716" s="117">
        <f t="shared" si="63"/>
        <v>121.38888888888889</v>
      </c>
      <c r="K716" s="122">
        <v>5</v>
      </c>
      <c r="L716" s="117">
        <f t="shared" si="60"/>
        <v>3.75</v>
      </c>
      <c r="N716" s="119">
        <v>3</v>
      </c>
      <c r="O716" s="117">
        <f t="shared" si="61"/>
        <v>3.8333333333333335</v>
      </c>
    </row>
    <row r="717" spans="3:15">
      <c r="C717" s="117">
        <v>3</v>
      </c>
      <c r="D717" s="117">
        <f t="shared" si="63"/>
        <v>3.8333333333333335</v>
      </c>
      <c r="K717" s="122">
        <v>5</v>
      </c>
      <c r="L717" s="117">
        <f t="shared" si="60"/>
        <v>3.75</v>
      </c>
      <c r="N717" s="119">
        <v>180</v>
      </c>
      <c r="O717" s="117">
        <f t="shared" si="61"/>
        <v>230</v>
      </c>
    </row>
    <row r="718" spans="3:15">
      <c r="C718" s="117">
        <v>3</v>
      </c>
      <c r="D718" s="117">
        <f t="shared" si="63"/>
        <v>3.8333333333333335</v>
      </c>
      <c r="K718" s="122">
        <v>31</v>
      </c>
      <c r="L718" s="117">
        <f t="shared" si="60"/>
        <v>23.25</v>
      </c>
    </row>
    <row r="719" spans="3:15">
      <c r="C719" s="117">
        <v>180</v>
      </c>
      <c r="D719" s="117">
        <f t="shared" si="63"/>
        <v>230</v>
      </c>
      <c r="K719" s="122">
        <v>80</v>
      </c>
      <c r="L719" s="117">
        <f t="shared" si="60"/>
        <v>60</v>
      </c>
    </row>
    <row r="723" spans="6:15">
      <c r="K723" s="118">
        <v>84</v>
      </c>
      <c r="L723" s="117">
        <f t="shared" ref="L723:L729" si="64">K723*60/100</f>
        <v>50.4</v>
      </c>
      <c r="N723" s="124">
        <v>50</v>
      </c>
      <c r="O723" s="117">
        <f t="shared" ref="O723:O729" si="65">N723*45/60</f>
        <v>37.5</v>
      </c>
    </row>
    <row r="724" spans="6:15">
      <c r="F724" s="124">
        <v>23</v>
      </c>
      <c r="G724" s="117">
        <f t="shared" ref="G724:G742" si="66">F724*100/130</f>
        <v>17.692307692307693</v>
      </c>
      <c r="K724" s="119"/>
      <c r="L724" s="117">
        <f t="shared" si="64"/>
        <v>0</v>
      </c>
      <c r="N724" s="122"/>
      <c r="O724" s="117">
        <f t="shared" si="65"/>
        <v>0</v>
      </c>
    </row>
    <row r="725" spans="6:15">
      <c r="F725" s="122">
        <v>41</v>
      </c>
      <c r="G725" s="117">
        <f t="shared" si="66"/>
        <v>31.53846153846154</v>
      </c>
      <c r="K725" s="119">
        <v>10</v>
      </c>
      <c r="L725" s="117">
        <f t="shared" si="64"/>
        <v>6</v>
      </c>
      <c r="N725" s="122">
        <v>6</v>
      </c>
      <c r="O725" s="117">
        <f t="shared" si="65"/>
        <v>4.5</v>
      </c>
    </row>
    <row r="726" spans="6:15">
      <c r="F726" s="122">
        <v>43</v>
      </c>
      <c r="G726" s="117">
        <f t="shared" si="66"/>
        <v>33.07692307692308</v>
      </c>
      <c r="K726" s="119">
        <v>10</v>
      </c>
      <c r="L726" s="117">
        <f t="shared" si="64"/>
        <v>6</v>
      </c>
      <c r="N726" s="122">
        <v>6</v>
      </c>
      <c r="O726" s="117">
        <f t="shared" si="65"/>
        <v>4.5</v>
      </c>
    </row>
    <row r="727" spans="6:15">
      <c r="F727" s="122">
        <v>49</v>
      </c>
      <c r="G727" s="117">
        <f t="shared" si="66"/>
        <v>37.692307692307693</v>
      </c>
      <c r="K727" s="119">
        <v>5</v>
      </c>
      <c r="L727" s="117">
        <f t="shared" si="64"/>
        <v>3</v>
      </c>
      <c r="N727" s="122">
        <v>3</v>
      </c>
      <c r="O727" s="117">
        <f t="shared" si="65"/>
        <v>2.25</v>
      </c>
    </row>
    <row r="728" spans="6:15">
      <c r="F728" s="122">
        <v>26</v>
      </c>
      <c r="G728" s="117">
        <f t="shared" si="66"/>
        <v>20</v>
      </c>
      <c r="K728" s="119">
        <v>0.1</v>
      </c>
      <c r="L728" s="117">
        <f t="shared" si="64"/>
        <v>0.06</v>
      </c>
      <c r="N728" s="122">
        <v>0.06</v>
      </c>
      <c r="O728" s="117">
        <f t="shared" si="65"/>
        <v>4.4999999999999998E-2</v>
      </c>
    </row>
    <row r="729" spans="6:15">
      <c r="F729" s="122"/>
      <c r="G729" s="117">
        <f t="shared" si="66"/>
        <v>0</v>
      </c>
      <c r="K729" s="119">
        <v>5</v>
      </c>
      <c r="L729" s="117">
        <f t="shared" si="64"/>
        <v>3</v>
      </c>
      <c r="N729" s="122">
        <v>3</v>
      </c>
      <c r="O729" s="117">
        <f t="shared" si="65"/>
        <v>2.25</v>
      </c>
    </row>
    <row r="730" spans="6:15">
      <c r="F730" s="122">
        <v>23</v>
      </c>
      <c r="G730" s="117">
        <f t="shared" si="66"/>
        <v>17.692307692307693</v>
      </c>
    </row>
    <row r="731" spans="6:15">
      <c r="F731" s="122">
        <v>26</v>
      </c>
      <c r="G731" s="117">
        <f t="shared" si="66"/>
        <v>20</v>
      </c>
    </row>
    <row r="732" spans="6:15">
      <c r="F732" s="122">
        <v>21</v>
      </c>
      <c r="G732" s="117">
        <f t="shared" si="66"/>
        <v>16.153846153846153</v>
      </c>
    </row>
    <row r="733" spans="6:15">
      <c r="F733" s="122"/>
      <c r="G733" s="117">
        <f t="shared" si="66"/>
        <v>0</v>
      </c>
    </row>
    <row r="734" spans="6:15">
      <c r="F734" s="122">
        <v>15</v>
      </c>
      <c r="G734" s="117">
        <f t="shared" si="66"/>
        <v>11.538461538461538</v>
      </c>
    </row>
    <row r="735" spans="6:15">
      <c r="F735" s="122">
        <v>17</v>
      </c>
      <c r="G735" s="117">
        <f t="shared" si="66"/>
        <v>13.076923076923077</v>
      </c>
      <c r="K735" s="118">
        <v>0.98</v>
      </c>
      <c r="L735" s="120">
        <v>5.05</v>
      </c>
      <c r="M735" s="120">
        <v>5.75</v>
      </c>
      <c r="N735" s="120">
        <v>73</v>
      </c>
      <c r="O735" s="120">
        <v>22.8</v>
      </c>
    </row>
    <row r="736" spans="6:15">
      <c r="F736" s="122">
        <v>12</v>
      </c>
      <c r="G736" s="117">
        <f t="shared" si="66"/>
        <v>9.2307692307692299</v>
      </c>
      <c r="K736" s="125">
        <f>K735*45/60</f>
        <v>0.73499999999999999</v>
      </c>
      <c r="L736" s="125">
        <f>L735*45/60</f>
        <v>3.7875000000000001</v>
      </c>
      <c r="M736" s="125">
        <f>M735*45/60</f>
        <v>4.3125</v>
      </c>
      <c r="N736" s="125">
        <f>N735*45/60</f>
        <v>54.75</v>
      </c>
      <c r="O736" s="125">
        <f>O735*45/60</f>
        <v>17.100000000000001</v>
      </c>
    </row>
    <row r="737" spans="6:16">
      <c r="F737" s="122">
        <v>17</v>
      </c>
      <c r="G737" s="117">
        <f t="shared" si="66"/>
        <v>13.076923076923077</v>
      </c>
    </row>
    <row r="738" spans="6:16">
      <c r="F738" s="122">
        <v>36</v>
      </c>
      <c r="G738" s="117">
        <f t="shared" si="66"/>
        <v>27.692307692307693</v>
      </c>
    </row>
    <row r="739" spans="6:16">
      <c r="F739" s="122">
        <v>23</v>
      </c>
      <c r="G739" s="117">
        <f t="shared" si="66"/>
        <v>17.692307692307693</v>
      </c>
    </row>
    <row r="740" spans="6:16">
      <c r="F740" s="122">
        <v>23</v>
      </c>
      <c r="G740" s="117">
        <f t="shared" si="66"/>
        <v>17.692307692307693</v>
      </c>
    </row>
    <row r="741" spans="6:16">
      <c r="F741" s="122">
        <v>12</v>
      </c>
      <c r="G741" s="117">
        <f t="shared" si="66"/>
        <v>9.2307692307692299</v>
      </c>
    </row>
    <row r="742" spans="6:16">
      <c r="F742" s="122">
        <v>130</v>
      </c>
      <c r="G742" s="117">
        <f t="shared" si="66"/>
        <v>100</v>
      </c>
    </row>
    <row r="743" spans="6:16">
      <c r="K743" s="118">
        <v>34</v>
      </c>
      <c r="L743" s="117">
        <f>K743*70/100</f>
        <v>23.8</v>
      </c>
    </row>
    <row r="744" spans="6:16">
      <c r="K744" s="119">
        <v>204</v>
      </c>
      <c r="L744" s="117">
        <f>K744*70/100</f>
        <v>142.80000000000001</v>
      </c>
      <c r="O744" s="124">
        <v>24</v>
      </c>
      <c r="P744" s="117">
        <f t="shared" ref="P744:P749" si="67">O744*120/70</f>
        <v>41.142857142857146</v>
      </c>
    </row>
    <row r="745" spans="6:16">
      <c r="K745" s="119">
        <v>97</v>
      </c>
      <c r="L745" s="117">
        <f>K745*70/100</f>
        <v>67.900000000000006</v>
      </c>
      <c r="O745" s="122">
        <v>144</v>
      </c>
      <c r="P745" s="117">
        <f t="shared" si="67"/>
        <v>246.85714285714286</v>
      </c>
    </row>
    <row r="746" spans="6:16">
      <c r="K746" s="119">
        <v>3</v>
      </c>
      <c r="L746" s="117">
        <f>K746*70/100</f>
        <v>2.1</v>
      </c>
      <c r="O746" s="122">
        <v>68</v>
      </c>
      <c r="P746" s="117">
        <f t="shared" si="67"/>
        <v>116.57142857142857</v>
      </c>
    </row>
    <row r="747" spans="6:16">
      <c r="K747" s="119">
        <v>100</v>
      </c>
      <c r="L747" s="117">
        <f>K747*70/100</f>
        <v>70</v>
      </c>
      <c r="O747" s="122">
        <v>2</v>
      </c>
      <c r="P747" s="117">
        <f t="shared" si="67"/>
        <v>3.4285714285714284</v>
      </c>
    </row>
    <row r="748" spans="6:16">
      <c r="O748" s="122">
        <v>70</v>
      </c>
      <c r="P748" s="117">
        <f t="shared" si="67"/>
        <v>120</v>
      </c>
    </row>
    <row r="749" spans="6:16">
      <c r="P749" s="117">
        <f t="shared" si="67"/>
        <v>0</v>
      </c>
    </row>
    <row r="750" spans="6:16">
      <c r="K750" s="118">
        <v>39</v>
      </c>
      <c r="L750" s="117">
        <f t="shared" ref="L750:L760" si="68">K750*75/85</f>
        <v>34.411764705882355</v>
      </c>
    </row>
    <row r="751" spans="6:16">
      <c r="K751" s="119">
        <v>58</v>
      </c>
      <c r="L751" s="117">
        <f t="shared" si="68"/>
        <v>51.176470588235297</v>
      </c>
    </row>
    <row r="752" spans="6:16">
      <c r="K752" s="119">
        <v>30</v>
      </c>
      <c r="L752" s="117">
        <f t="shared" si="68"/>
        <v>26.470588235294116</v>
      </c>
    </row>
    <row r="753" spans="4:14">
      <c r="K753" s="119">
        <v>61</v>
      </c>
      <c r="L753" s="117">
        <f t="shared" si="68"/>
        <v>53.823529411764703</v>
      </c>
    </row>
    <row r="754" spans="4:14">
      <c r="K754" s="119">
        <v>33</v>
      </c>
      <c r="L754" s="117">
        <f t="shared" si="68"/>
        <v>29.117647058823529</v>
      </c>
    </row>
    <row r="755" spans="4:14">
      <c r="K755" s="119">
        <v>59</v>
      </c>
      <c r="L755" s="117">
        <f t="shared" si="68"/>
        <v>52.058823529411768</v>
      </c>
    </row>
    <row r="756" spans="4:14">
      <c r="K756" s="119">
        <v>27</v>
      </c>
      <c r="L756" s="117">
        <f t="shared" si="68"/>
        <v>23.823529411764707</v>
      </c>
    </row>
    <row r="757" spans="4:14">
      <c r="K757" s="119">
        <v>65</v>
      </c>
      <c r="L757" s="117">
        <f t="shared" si="68"/>
        <v>57.352941176470587</v>
      </c>
    </row>
    <row r="758" spans="4:14" ht="63.6">
      <c r="D758" s="138">
        <v>4.28</v>
      </c>
      <c r="E758" s="138">
        <v>3.62</v>
      </c>
      <c r="F758" s="138">
        <v>21.03</v>
      </c>
      <c r="G758" s="138">
        <v>135</v>
      </c>
      <c r="H758" s="138">
        <v>1.5</v>
      </c>
      <c r="K758" s="119">
        <v>81</v>
      </c>
      <c r="L758" s="117">
        <f t="shared" si="68"/>
        <v>71.470588235294116</v>
      </c>
    </row>
    <row r="759" spans="4:14">
      <c r="K759" s="119">
        <v>4</v>
      </c>
      <c r="L759" s="117">
        <f t="shared" si="68"/>
        <v>3.5294117647058822</v>
      </c>
    </row>
    <row r="760" spans="4:14">
      <c r="K760" s="119">
        <v>85</v>
      </c>
      <c r="L760" s="117">
        <f t="shared" si="68"/>
        <v>75</v>
      </c>
    </row>
    <row r="763" spans="4:14">
      <c r="M763" s="118">
        <v>21</v>
      </c>
      <c r="N763" s="117">
        <f t="shared" ref="N763:N771" si="69">M763*70/50</f>
        <v>29.4</v>
      </c>
    </row>
    <row r="764" spans="4:14">
      <c r="I764" s="124">
        <v>34</v>
      </c>
      <c r="J764" s="117">
        <f t="shared" ref="J764:J774" si="70">I764*150/75</f>
        <v>68</v>
      </c>
      <c r="M764" s="119">
        <v>52</v>
      </c>
      <c r="N764" s="117">
        <f t="shared" si="69"/>
        <v>72.8</v>
      </c>
    </row>
    <row r="765" spans="4:14">
      <c r="I765" s="122">
        <v>51</v>
      </c>
      <c r="J765" s="117">
        <f t="shared" si="70"/>
        <v>102</v>
      </c>
      <c r="M765" s="119">
        <v>4</v>
      </c>
      <c r="N765" s="117">
        <f t="shared" si="69"/>
        <v>5.6</v>
      </c>
    </row>
    <row r="766" spans="4:14">
      <c r="I766" s="122">
        <v>26</v>
      </c>
      <c r="J766" s="117">
        <f t="shared" si="70"/>
        <v>52</v>
      </c>
      <c r="M766" s="119">
        <v>1.7</v>
      </c>
      <c r="N766" s="117">
        <f t="shared" si="69"/>
        <v>2.38</v>
      </c>
    </row>
    <row r="767" spans="4:14">
      <c r="I767" s="122">
        <v>54</v>
      </c>
      <c r="J767" s="117">
        <f t="shared" si="70"/>
        <v>108</v>
      </c>
      <c r="M767" s="119">
        <v>1.7</v>
      </c>
      <c r="N767" s="117">
        <f t="shared" si="69"/>
        <v>2.38</v>
      </c>
    </row>
    <row r="768" spans="4:14">
      <c r="I768" s="122">
        <v>29</v>
      </c>
      <c r="J768" s="117">
        <f t="shared" si="70"/>
        <v>58</v>
      </c>
      <c r="M768" s="119">
        <v>77</v>
      </c>
      <c r="N768" s="117">
        <f t="shared" si="69"/>
        <v>107.8</v>
      </c>
    </row>
    <row r="769" spans="4:14">
      <c r="I769" s="122">
        <v>52</v>
      </c>
      <c r="J769" s="117">
        <f t="shared" si="70"/>
        <v>104</v>
      </c>
      <c r="M769" s="119">
        <v>1.7</v>
      </c>
      <c r="N769" s="117">
        <f t="shared" si="69"/>
        <v>2.38</v>
      </c>
    </row>
    <row r="770" spans="4:14">
      <c r="I770" s="122">
        <v>24</v>
      </c>
      <c r="J770" s="117">
        <f t="shared" si="70"/>
        <v>48</v>
      </c>
      <c r="M770" s="119">
        <v>50</v>
      </c>
      <c r="N770" s="117">
        <f t="shared" si="69"/>
        <v>70</v>
      </c>
    </row>
    <row r="771" spans="4:14">
      <c r="I771" s="122">
        <v>57</v>
      </c>
      <c r="J771" s="117">
        <f t="shared" si="70"/>
        <v>114</v>
      </c>
      <c r="M771" s="119">
        <v>14</v>
      </c>
      <c r="N771" s="117">
        <f t="shared" si="69"/>
        <v>19.600000000000001</v>
      </c>
    </row>
    <row r="772" spans="4:14">
      <c r="I772" s="122">
        <v>71</v>
      </c>
      <c r="J772" s="117">
        <f t="shared" si="70"/>
        <v>142</v>
      </c>
    </row>
    <row r="773" spans="4:14">
      <c r="I773" s="122">
        <v>4</v>
      </c>
      <c r="J773" s="117">
        <f t="shared" si="70"/>
        <v>8</v>
      </c>
    </row>
    <row r="774" spans="4:14">
      <c r="I774" s="122">
        <v>75</v>
      </c>
      <c r="J774" s="117">
        <f t="shared" si="70"/>
        <v>150</v>
      </c>
    </row>
    <row r="780" spans="4:14">
      <c r="M780" s="124">
        <v>11</v>
      </c>
      <c r="N780" s="117">
        <f t="shared" ref="N780:N788" si="71">M780*160/115</f>
        <v>15.304347826086957</v>
      </c>
    </row>
    <row r="781" spans="4:14">
      <c r="H781" s="118">
        <v>73</v>
      </c>
      <c r="I781" s="117">
        <f t="shared" ref="I781:I791" si="72">H781*100/80</f>
        <v>91.25</v>
      </c>
      <c r="M781" s="122">
        <v>66</v>
      </c>
      <c r="N781" s="117">
        <f t="shared" si="71"/>
        <v>91.826086956521735</v>
      </c>
    </row>
    <row r="782" spans="4:14">
      <c r="D782" s="118">
        <v>21</v>
      </c>
      <c r="E782" s="117">
        <f t="shared" ref="E782:E790" si="73">D782*60/50</f>
        <v>25.2</v>
      </c>
      <c r="H782" s="119">
        <v>90</v>
      </c>
      <c r="I782" s="117">
        <f t="shared" si="72"/>
        <v>112.5</v>
      </c>
      <c r="M782" s="122">
        <v>84</v>
      </c>
      <c r="N782" s="117">
        <f t="shared" si="71"/>
        <v>116.8695652173913</v>
      </c>
    </row>
    <row r="783" spans="4:14">
      <c r="D783" s="119">
        <v>52</v>
      </c>
      <c r="E783" s="117">
        <f t="shared" si="73"/>
        <v>62.4</v>
      </c>
      <c r="H783" s="119">
        <v>4</v>
      </c>
      <c r="I783" s="117">
        <f t="shared" si="72"/>
        <v>5</v>
      </c>
      <c r="M783" s="122">
        <v>7</v>
      </c>
      <c r="N783" s="117">
        <f t="shared" si="71"/>
        <v>9.7391304347826093</v>
      </c>
    </row>
    <row r="784" spans="4:14">
      <c r="D784" s="119">
        <v>4</v>
      </c>
      <c r="E784" s="117">
        <f t="shared" si="73"/>
        <v>4.8</v>
      </c>
      <c r="H784" s="119">
        <v>3</v>
      </c>
      <c r="I784" s="117">
        <f t="shared" si="72"/>
        <v>3.75</v>
      </c>
      <c r="M784" s="122">
        <v>8</v>
      </c>
      <c r="N784" s="117">
        <f t="shared" si="71"/>
        <v>11.130434782608695</v>
      </c>
    </row>
    <row r="785" spans="4:17">
      <c r="D785" s="119">
        <v>1.7</v>
      </c>
      <c r="E785" s="117">
        <f t="shared" si="73"/>
        <v>2.04</v>
      </c>
      <c r="H785" s="119"/>
      <c r="I785" s="117">
        <f t="shared" si="72"/>
        <v>0</v>
      </c>
      <c r="M785" s="122">
        <v>2</v>
      </c>
      <c r="N785" s="117">
        <f t="shared" si="71"/>
        <v>2.7826086956521738</v>
      </c>
    </row>
    <row r="786" spans="4:17">
      <c r="D786" s="119">
        <v>1.7</v>
      </c>
      <c r="E786" s="117">
        <f t="shared" si="73"/>
        <v>2.04</v>
      </c>
      <c r="H786" s="119">
        <v>3</v>
      </c>
      <c r="I786" s="117">
        <f t="shared" si="72"/>
        <v>3.75</v>
      </c>
      <c r="M786" s="122">
        <v>135</v>
      </c>
      <c r="N786" s="117">
        <f t="shared" si="71"/>
        <v>187.82608695652175</v>
      </c>
    </row>
    <row r="787" spans="4:17">
      <c r="D787" s="119">
        <v>77</v>
      </c>
      <c r="E787" s="117">
        <f t="shared" si="73"/>
        <v>92.4</v>
      </c>
      <c r="H787" s="119">
        <v>3</v>
      </c>
      <c r="I787" s="117">
        <f t="shared" si="72"/>
        <v>3.75</v>
      </c>
      <c r="M787" s="122">
        <v>115</v>
      </c>
      <c r="N787" s="117">
        <f t="shared" si="71"/>
        <v>160</v>
      </c>
    </row>
    <row r="788" spans="4:17">
      <c r="D788" s="119">
        <v>1.7</v>
      </c>
      <c r="E788" s="117">
        <f t="shared" si="73"/>
        <v>2.04</v>
      </c>
      <c r="H788" s="119">
        <v>1.7</v>
      </c>
      <c r="I788" s="117">
        <f t="shared" si="72"/>
        <v>2.125</v>
      </c>
      <c r="M788" s="122">
        <v>115</v>
      </c>
      <c r="N788" s="117">
        <f t="shared" si="71"/>
        <v>160</v>
      </c>
    </row>
    <row r="789" spans="4:17">
      <c r="D789" s="119">
        <v>50</v>
      </c>
      <c r="E789" s="117">
        <f t="shared" si="73"/>
        <v>60</v>
      </c>
      <c r="H789" s="119">
        <v>3</v>
      </c>
      <c r="I789" s="117">
        <f t="shared" si="72"/>
        <v>3.75</v>
      </c>
    </row>
    <row r="790" spans="4:17">
      <c r="D790" s="119">
        <v>14</v>
      </c>
      <c r="E790" s="117">
        <f t="shared" si="73"/>
        <v>16.8</v>
      </c>
      <c r="H790" s="119">
        <v>40</v>
      </c>
      <c r="I790" s="117">
        <f t="shared" si="72"/>
        <v>50</v>
      </c>
    </row>
    <row r="791" spans="4:17">
      <c r="H791" s="119">
        <v>40</v>
      </c>
      <c r="I791" s="117">
        <f t="shared" si="72"/>
        <v>50</v>
      </c>
    </row>
    <row r="795" spans="4:17">
      <c r="L795" s="118">
        <v>73</v>
      </c>
      <c r="M795" s="117">
        <f t="shared" ref="M795:M810" si="74">L795*100/80</f>
        <v>91.25</v>
      </c>
    </row>
    <row r="796" spans="4:17">
      <c r="L796" s="119">
        <v>90</v>
      </c>
      <c r="M796" s="117">
        <f t="shared" si="74"/>
        <v>112.5</v>
      </c>
    </row>
    <row r="797" spans="4:17">
      <c r="L797" s="119"/>
      <c r="M797" s="117">
        <f t="shared" si="74"/>
        <v>0</v>
      </c>
      <c r="P797" s="124">
        <v>107</v>
      </c>
      <c r="Q797" s="117">
        <f>P797*40/35</f>
        <v>122.28571428571429</v>
      </c>
    </row>
    <row r="798" spans="4:17">
      <c r="F798" s="118">
        <v>122</v>
      </c>
      <c r="G798" s="117">
        <f>F798*35/40</f>
        <v>106.75</v>
      </c>
      <c r="L798" s="119">
        <v>3</v>
      </c>
      <c r="M798" s="117">
        <f t="shared" si="74"/>
        <v>3.75</v>
      </c>
      <c r="P798" s="122">
        <v>50</v>
      </c>
      <c r="Q798" s="117">
        <f>P798*40/35</f>
        <v>57.142857142857146</v>
      </c>
    </row>
    <row r="799" spans="4:17">
      <c r="F799" s="119">
        <v>122</v>
      </c>
      <c r="G799" s="117">
        <f>F799*35/40</f>
        <v>106.75</v>
      </c>
      <c r="L799" s="119">
        <v>3</v>
      </c>
      <c r="M799" s="117">
        <f t="shared" si="74"/>
        <v>3.75</v>
      </c>
      <c r="P799" s="122">
        <v>49</v>
      </c>
      <c r="Q799" s="117">
        <f>P799*40/35</f>
        <v>56</v>
      </c>
    </row>
    <row r="800" spans="4:17">
      <c r="F800" s="119">
        <v>57</v>
      </c>
      <c r="G800" s="117">
        <f>F800*35/40</f>
        <v>49.875</v>
      </c>
      <c r="L800" s="119">
        <v>2</v>
      </c>
      <c r="M800" s="117">
        <f t="shared" si="74"/>
        <v>2.5</v>
      </c>
      <c r="P800" s="122">
        <v>66</v>
      </c>
      <c r="Q800" s="117">
        <f>P800*40/35</f>
        <v>75.428571428571431</v>
      </c>
    </row>
    <row r="801" spans="6:17">
      <c r="F801" s="119">
        <v>75</v>
      </c>
      <c r="G801" s="117">
        <f>F801*35/40</f>
        <v>65.625</v>
      </c>
      <c r="L801" s="119">
        <v>40</v>
      </c>
      <c r="M801" s="117">
        <f t="shared" si="74"/>
        <v>50</v>
      </c>
      <c r="P801" s="122">
        <v>35</v>
      </c>
      <c r="Q801" s="117">
        <f>P801*40/35</f>
        <v>40</v>
      </c>
    </row>
    <row r="802" spans="6:17">
      <c r="F802" s="119">
        <v>40</v>
      </c>
      <c r="G802" s="117">
        <f>F802*35/40</f>
        <v>35</v>
      </c>
      <c r="L802" s="119"/>
      <c r="M802" s="117">
        <f t="shared" si="74"/>
        <v>0</v>
      </c>
    </row>
    <row r="803" spans="6:17">
      <c r="L803" s="119">
        <v>5</v>
      </c>
      <c r="M803" s="117">
        <f t="shared" si="74"/>
        <v>6.25</v>
      </c>
    </row>
    <row r="804" spans="6:17">
      <c r="L804" s="119">
        <v>5</v>
      </c>
      <c r="M804" s="117">
        <f t="shared" si="74"/>
        <v>6.25</v>
      </c>
    </row>
    <row r="805" spans="6:17">
      <c r="L805" s="119">
        <v>4.5</v>
      </c>
      <c r="M805" s="117">
        <f t="shared" si="74"/>
        <v>5.625</v>
      </c>
    </row>
    <row r="806" spans="6:17">
      <c r="L806" s="119">
        <v>40</v>
      </c>
      <c r="M806" s="117">
        <f t="shared" si="74"/>
        <v>50</v>
      </c>
    </row>
    <row r="807" spans="6:17">
      <c r="L807" s="119">
        <v>1.6</v>
      </c>
      <c r="M807" s="117">
        <f t="shared" si="74"/>
        <v>2</v>
      </c>
    </row>
    <row r="808" spans="6:17">
      <c r="L808" s="119">
        <v>1.6</v>
      </c>
      <c r="M808" s="117">
        <f t="shared" si="74"/>
        <v>2</v>
      </c>
    </row>
    <row r="809" spans="6:17">
      <c r="L809" s="119">
        <v>30</v>
      </c>
      <c r="M809" s="117">
        <f t="shared" si="74"/>
        <v>37.5</v>
      </c>
    </row>
    <row r="810" spans="6:17">
      <c r="L810" s="119">
        <v>30</v>
      </c>
      <c r="M810" s="117">
        <f t="shared" si="74"/>
        <v>37.5</v>
      </c>
    </row>
    <row r="817" spans="4:17">
      <c r="D817" s="118">
        <v>106</v>
      </c>
      <c r="E817" s="117">
        <f t="shared" ref="E817:E831" si="75">D817*70/60</f>
        <v>123.66666666666667</v>
      </c>
      <c r="I817" s="118">
        <v>38</v>
      </c>
      <c r="J817" s="117">
        <f>I817*60/50</f>
        <v>45.6</v>
      </c>
    </row>
    <row r="818" spans="4:17">
      <c r="D818" s="119">
        <v>106</v>
      </c>
      <c r="E818" s="117">
        <f t="shared" si="75"/>
        <v>123.66666666666667</v>
      </c>
      <c r="I818" s="119">
        <v>8</v>
      </c>
      <c r="J818" s="117">
        <f>I818*60/50</f>
        <v>9.6</v>
      </c>
    </row>
    <row r="819" spans="4:17">
      <c r="D819" s="119"/>
      <c r="E819" s="117">
        <f t="shared" si="75"/>
        <v>0</v>
      </c>
      <c r="I819" s="119">
        <v>4</v>
      </c>
      <c r="J819" s="117">
        <f>I819*60/50</f>
        <v>4.8</v>
      </c>
    </row>
    <row r="820" spans="4:17">
      <c r="D820" s="119"/>
      <c r="E820" s="117">
        <f t="shared" si="75"/>
        <v>0</v>
      </c>
      <c r="I820" s="119">
        <v>50</v>
      </c>
      <c r="J820" s="117">
        <f>I820*60/50</f>
        <v>60</v>
      </c>
      <c r="L820" s="118">
        <v>32</v>
      </c>
      <c r="M820" s="117">
        <f t="shared" ref="M820:M833" si="76">L820*250/200</f>
        <v>40</v>
      </c>
      <c r="P820" s="118">
        <v>71</v>
      </c>
      <c r="Q820" s="117">
        <f>P820*74/49</f>
        <v>107.22448979591837</v>
      </c>
    </row>
    <row r="821" spans="4:17">
      <c r="D821" s="119">
        <v>3</v>
      </c>
      <c r="E821" s="117">
        <f t="shared" si="75"/>
        <v>3.5</v>
      </c>
      <c r="L821" s="119">
        <v>5</v>
      </c>
      <c r="M821" s="117">
        <f t="shared" si="76"/>
        <v>6.25</v>
      </c>
      <c r="P821" s="119">
        <v>66</v>
      </c>
      <c r="Q821" s="117">
        <f>P821*74/49</f>
        <v>99.673469387755105</v>
      </c>
    </row>
    <row r="822" spans="4:17">
      <c r="D822" s="119">
        <v>5</v>
      </c>
      <c r="E822" s="117">
        <f t="shared" si="75"/>
        <v>5.833333333333333</v>
      </c>
      <c r="L822" s="119">
        <v>140</v>
      </c>
      <c r="M822" s="117">
        <f t="shared" si="76"/>
        <v>175</v>
      </c>
      <c r="P822" s="119">
        <v>98</v>
      </c>
      <c r="Q822" s="117">
        <f>P822*74/49</f>
        <v>148</v>
      </c>
    </row>
    <row r="823" spans="4:17">
      <c r="D823" s="119">
        <v>5</v>
      </c>
      <c r="E823" s="117">
        <f t="shared" si="75"/>
        <v>5.833333333333333</v>
      </c>
      <c r="L823" s="119"/>
      <c r="M823" s="117">
        <f t="shared" si="76"/>
        <v>0</v>
      </c>
      <c r="P823" s="119">
        <v>70</v>
      </c>
      <c r="Q823" s="117">
        <f>P823*74/49</f>
        <v>105.71428571428571</v>
      </c>
    </row>
    <row r="824" spans="4:17">
      <c r="D824" s="119">
        <v>1.1000000000000001</v>
      </c>
      <c r="E824" s="117">
        <f t="shared" si="75"/>
        <v>1.2833333333333334</v>
      </c>
      <c r="L824" s="119">
        <v>60</v>
      </c>
      <c r="M824" s="117">
        <f t="shared" si="76"/>
        <v>75</v>
      </c>
    </row>
    <row r="825" spans="4:17">
      <c r="D825" s="119">
        <v>0.6</v>
      </c>
      <c r="E825" s="117">
        <f t="shared" si="75"/>
        <v>0.7</v>
      </c>
      <c r="L825" s="119">
        <v>60</v>
      </c>
      <c r="M825" s="117">
        <f t="shared" si="76"/>
        <v>75</v>
      </c>
    </row>
    <row r="826" spans="4:17">
      <c r="D826" s="119">
        <v>2</v>
      </c>
      <c r="E826" s="117">
        <f t="shared" si="75"/>
        <v>2.3333333333333335</v>
      </c>
      <c r="L826" s="119">
        <v>60</v>
      </c>
      <c r="M826" s="117">
        <f t="shared" si="76"/>
        <v>75</v>
      </c>
    </row>
    <row r="827" spans="4:17">
      <c r="D827" s="119"/>
      <c r="E827" s="117">
        <f t="shared" si="75"/>
        <v>0</v>
      </c>
      <c r="H827" s="118">
        <v>14</v>
      </c>
      <c r="I827" s="117">
        <f t="shared" ref="I827:I832" si="77">H827/2</f>
        <v>7</v>
      </c>
      <c r="L827" s="119">
        <v>60</v>
      </c>
      <c r="M827" s="117">
        <f t="shared" si="76"/>
        <v>75</v>
      </c>
    </row>
    <row r="828" spans="4:17">
      <c r="D828" s="119">
        <v>5</v>
      </c>
      <c r="E828" s="117">
        <f t="shared" si="75"/>
        <v>5.833333333333333</v>
      </c>
      <c r="H828" s="119">
        <v>14</v>
      </c>
      <c r="I828" s="117">
        <f t="shared" si="77"/>
        <v>7</v>
      </c>
      <c r="L828" s="119"/>
      <c r="M828" s="117">
        <f t="shared" si="76"/>
        <v>0</v>
      </c>
    </row>
    <row r="829" spans="4:17">
      <c r="D829" s="119">
        <v>5.3</v>
      </c>
      <c r="E829" s="117">
        <f t="shared" si="75"/>
        <v>6.1833333333333336</v>
      </c>
      <c r="H829" s="119">
        <v>8</v>
      </c>
      <c r="I829" s="117">
        <f t="shared" si="77"/>
        <v>4</v>
      </c>
      <c r="L829" s="119">
        <v>8</v>
      </c>
      <c r="M829" s="117">
        <f t="shared" si="76"/>
        <v>10</v>
      </c>
    </row>
    <row r="830" spans="4:17">
      <c r="D830" s="119">
        <v>23</v>
      </c>
      <c r="E830" s="117">
        <f t="shared" si="75"/>
        <v>26.833333333333332</v>
      </c>
      <c r="H830" s="119">
        <v>1.5</v>
      </c>
      <c r="I830" s="117">
        <f t="shared" si="77"/>
        <v>0.75</v>
      </c>
      <c r="L830" s="119">
        <v>8</v>
      </c>
      <c r="M830" s="117">
        <f t="shared" si="76"/>
        <v>10</v>
      </c>
    </row>
    <row r="831" spans="4:17">
      <c r="D831" s="122">
        <v>60</v>
      </c>
      <c r="E831" s="117">
        <f t="shared" si="75"/>
        <v>70</v>
      </c>
      <c r="H831" s="119">
        <v>4</v>
      </c>
      <c r="I831" s="117">
        <f t="shared" si="77"/>
        <v>2</v>
      </c>
      <c r="L831" s="119">
        <v>8</v>
      </c>
      <c r="M831" s="117">
        <f t="shared" si="76"/>
        <v>10</v>
      </c>
    </row>
    <row r="832" spans="4:17">
      <c r="H832" s="119">
        <v>1.4</v>
      </c>
      <c r="I832" s="117">
        <f t="shared" si="77"/>
        <v>0.7</v>
      </c>
      <c r="L832" s="119">
        <v>3</v>
      </c>
      <c r="M832" s="117">
        <f t="shared" si="76"/>
        <v>3.75</v>
      </c>
    </row>
    <row r="833" spans="8:13">
      <c r="L833" s="119">
        <v>200</v>
      </c>
      <c r="M833" s="117">
        <f t="shared" si="76"/>
        <v>250</v>
      </c>
    </row>
    <row r="843" spans="8:13">
      <c r="H843" s="124">
        <v>107</v>
      </c>
      <c r="I843" s="117">
        <f t="shared" ref="I843:I857" si="78">H843*100/74</f>
        <v>144.59459459459458</v>
      </c>
    </row>
    <row r="844" spans="8:13">
      <c r="H844" s="122">
        <v>100</v>
      </c>
      <c r="I844" s="117">
        <f t="shared" si="78"/>
        <v>135.13513513513513</v>
      </c>
    </row>
    <row r="845" spans="8:13">
      <c r="H845" s="122">
        <v>148</v>
      </c>
      <c r="I845" s="117">
        <f t="shared" si="78"/>
        <v>200</v>
      </c>
    </row>
    <row r="846" spans="8:13">
      <c r="H846" s="122">
        <v>106</v>
      </c>
      <c r="I846" s="117">
        <f t="shared" si="78"/>
        <v>143.24324324324326</v>
      </c>
    </row>
    <row r="847" spans="8:13">
      <c r="H847" s="119">
        <v>23</v>
      </c>
      <c r="I847" s="117">
        <f t="shared" si="78"/>
        <v>31.081081081081081</v>
      </c>
    </row>
    <row r="848" spans="8:13">
      <c r="H848" s="119"/>
      <c r="I848" s="117">
        <f t="shared" si="78"/>
        <v>0</v>
      </c>
    </row>
    <row r="849" spans="3:16">
      <c r="H849" s="119">
        <v>8.8000000000000007</v>
      </c>
      <c r="I849" s="117">
        <f t="shared" si="78"/>
        <v>11.891891891891893</v>
      </c>
    </row>
    <row r="850" spans="3:16">
      <c r="H850" s="119">
        <v>9.3000000000000007</v>
      </c>
      <c r="I850" s="117">
        <f t="shared" si="78"/>
        <v>12.567567567567568</v>
      </c>
    </row>
    <row r="851" spans="3:16">
      <c r="H851" s="119">
        <v>5</v>
      </c>
      <c r="I851" s="117">
        <f t="shared" si="78"/>
        <v>6.756756756756757</v>
      </c>
    </row>
    <row r="852" spans="3:16">
      <c r="H852" s="119">
        <v>0.8</v>
      </c>
      <c r="I852" s="117">
        <f t="shared" si="78"/>
        <v>1.0810810810810811</v>
      </c>
    </row>
    <row r="853" spans="3:16">
      <c r="H853" s="119">
        <v>3</v>
      </c>
      <c r="I853" s="117">
        <f t="shared" si="78"/>
        <v>4.0540540540540544</v>
      </c>
    </row>
    <row r="854" spans="3:16">
      <c r="H854" s="119">
        <v>0.7</v>
      </c>
      <c r="I854" s="117">
        <f t="shared" si="78"/>
        <v>0.94594594594594594</v>
      </c>
    </row>
    <row r="855" spans="3:16">
      <c r="H855" s="119">
        <v>60</v>
      </c>
      <c r="I855" s="117">
        <f t="shared" si="78"/>
        <v>81.081081081081081</v>
      </c>
    </row>
    <row r="856" spans="3:16">
      <c r="H856" s="119">
        <v>80</v>
      </c>
      <c r="I856" s="117">
        <f t="shared" si="78"/>
        <v>108.10810810810811</v>
      </c>
    </row>
    <row r="857" spans="3:16">
      <c r="H857" s="119">
        <v>80</v>
      </c>
      <c r="I857" s="117">
        <f t="shared" si="78"/>
        <v>108.10810810810811</v>
      </c>
    </row>
    <row r="862" spans="3:16">
      <c r="C862" s="118">
        <v>112</v>
      </c>
      <c r="D862" s="117">
        <f t="shared" ref="D862:D883" si="79">C862*65/80</f>
        <v>91</v>
      </c>
      <c r="H862" s="124">
        <v>107</v>
      </c>
      <c r="I862" s="117">
        <f t="shared" ref="I862:I876" si="80">H862*100/80</f>
        <v>133.75</v>
      </c>
    </row>
    <row r="863" spans="3:16">
      <c r="C863" s="119">
        <v>94</v>
      </c>
      <c r="D863" s="117">
        <f t="shared" si="79"/>
        <v>76.375</v>
      </c>
      <c r="H863" s="122">
        <v>100</v>
      </c>
      <c r="I863" s="117">
        <f t="shared" si="80"/>
        <v>125</v>
      </c>
      <c r="K863" s="124">
        <v>134</v>
      </c>
      <c r="L863" s="117">
        <f t="shared" ref="L863:L877" si="81">K863*120/100</f>
        <v>160.80000000000001</v>
      </c>
      <c r="O863" s="118">
        <v>67</v>
      </c>
      <c r="P863" s="117">
        <f t="shared" ref="P863:P873" si="82">O863*100/80</f>
        <v>83.75</v>
      </c>
    </row>
    <row r="864" spans="3:16">
      <c r="C864" s="119">
        <v>107</v>
      </c>
      <c r="D864" s="117">
        <f t="shared" si="79"/>
        <v>86.9375</v>
      </c>
      <c r="H864" s="122">
        <v>148</v>
      </c>
      <c r="I864" s="117">
        <f t="shared" si="80"/>
        <v>185</v>
      </c>
      <c r="K864" s="122">
        <v>125</v>
      </c>
      <c r="L864" s="117">
        <f t="shared" si="81"/>
        <v>150</v>
      </c>
      <c r="O864" s="119">
        <v>67</v>
      </c>
      <c r="P864" s="117">
        <f t="shared" si="82"/>
        <v>83.75</v>
      </c>
    </row>
    <row r="865" spans="3:16">
      <c r="C865" s="119">
        <v>94</v>
      </c>
      <c r="D865" s="117">
        <f t="shared" si="79"/>
        <v>76.375</v>
      </c>
      <c r="H865" s="122">
        <v>106</v>
      </c>
      <c r="I865" s="117">
        <f t="shared" si="80"/>
        <v>132.5</v>
      </c>
      <c r="K865" s="122">
        <v>185</v>
      </c>
      <c r="L865" s="117">
        <f t="shared" si="81"/>
        <v>222</v>
      </c>
      <c r="O865" s="119">
        <v>67</v>
      </c>
      <c r="P865" s="117">
        <f t="shared" si="82"/>
        <v>83.75</v>
      </c>
    </row>
    <row r="866" spans="3:16">
      <c r="C866" s="119">
        <v>125</v>
      </c>
      <c r="D866" s="117">
        <f t="shared" si="79"/>
        <v>101.5625</v>
      </c>
      <c r="H866" s="119">
        <v>23</v>
      </c>
      <c r="I866" s="117">
        <f t="shared" si="80"/>
        <v>28.75</v>
      </c>
      <c r="K866" s="122">
        <v>133</v>
      </c>
      <c r="L866" s="117">
        <f t="shared" si="81"/>
        <v>159.6</v>
      </c>
      <c r="O866" s="119">
        <v>67</v>
      </c>
      <c r="P866" s="117">
        <f t="shared" si="82"/>
        <v>83.75</v>
      </c>
    </row>
    <row r="867" spans="3:16">
      <c r="C867" s="119">
        <v>93</v>
      </c>
      <c r="D867" s="117">
        <f t="shared" si="79"/>
        <v>75.5625</v>
      </c>
      <c r="H867" s="119"/>
      <c r="I867" s="117">
        <f t="shared" si="80"/>
        <v>0</v>
      </c>
      <c r="K867" s="122">
        <v>29</v>
      </c>
      <c r="L867" s="117">
        <f t="shared" si="81"/>
        <v>34.799999999999997</v>
      </c>
      <c r="O867" s="119">
        <v>4</v>
      </c>
      <c r="P867" s="117">
        <f t="shared" si="82"/>
        <v>5</v>
      </c>
    </row>
    <row r="868" spans="3:16">
      <c r="C868" s="119">
        <v>114</v>
      </c>
      <c r="D868" s="117">
        <f t="shared" si="79"/>
        <v>92.625</v>
      </c>
      <c r="H868" s="119">
        <v>8.8000000000000007</v>
      </c>
      <c r="I868" s="117">
        <f t="shared" si="80"/>
        <v>11.000000000000002</v>
      </c>
      <c r="K868" s="122"/>
      <c r="L868" s="117">
        <f t="shared" si="81"/>
        <v>0</v>
      </c>
      <c r="O868" s="119">
        <v>20</v>
      </c>
      <c r="P868" s="117">
        <f t="shared" si="82"/>
        <v>25</v>
      </c>
    </row>
    <row r="869" spans="3:16">
      <c r="C869" s="119">
        <v>59</v>
      </c>
      <c r="D869" s="117">
        <f t="shared" si="79"/>
        <v>47.9375</v>
      </c>
      <c r="H869" s="119">
        <v>9.3000000000000007</v>
      </c>
      <c r="I869" s="117">
        <f t="shared" si="80"/>
        <v>11.625000000000002</v>
      </c>
      <c r="K869" s="122">
        <v>9</v>
      </c>
      <c r="L869" s="117">
        <f t="shared" si="81"/>
        <v>10.8</v>
      </c>
      <c r="O869" s="119">
        <v>14</v>
      </c>
      <c r="P869" s="117">
        <f t="shared" si="82"/>
        <v>17.5</v>
      </c>
    </row>
    <row r="870" spans="3:16">
      <c r="C870" s="119">
        <v>77</v>
      </c>
      <c r="D870" s="117">
        <f t="shared" si="79"/>
        <v>62.5625</v>
      </c>
      <c r="H870" s="119">
        <v>5</v>
      </c>
      <c r="I870" s="117">
        <f t="shared" si="80"/>
        <v>6.25</v>
      </c>
      <c r="K870" s="122">
        <v>9</v>
      </c>
      <c r="L870" s="117">
        <f t="shared" si="81"/>
        <v>10.8</v>
      </c>
      <c r="O870" s="119">
        <v>8</v>
      </c>
      <c r="P870" s="117">
        <f t="shared" si="82"/>
        <v>10</v>
      </c>
    </row>
    <row r="871" spans="3:16">
      <c r="C871" s="119">
        <v>66</v>
      </c>
      <c r="D871" s="117">
        <f t="shared" si="79"/>
        <v>53.625</v>
      </c>
      <c r="H871" s="119">
        <v>0.8</v>
      </c>
      <c r="I871" s="117">
        <f t="shared" si="80"/>
        <v>1</v>
      </c>
      <c r="K871" s="122">
        <v>5</v>
      </c>
      <c r="L871" s="117">
        <f t="shared" si="81"/>
        <v>6</v>
      </c>
      <c r="O871" s="119">
        <v>26</v>
      </c>
      <c r="P871" s="117">
        <f t="shared" si="82"/>
        <v>32.5</v>
      </c>
    </row>
    <row r="872" spans="3:16">
      <c r="C872" s="119">
        <v>71</v>
      </c>
      <c r="D872" s="117">
        <f t="shared" si="79"/>
        <v>57.6875</v>
      </c>
      <c r="H872" s="119">
        <v>3</v>
      </c>
      <c r="I872" s="117">
        <f t="shared" si="80"/>
        <v>3.75</v>
      </c>
      <c r="K872" s="122">
        <v>1</v>
      </c>
      <c r="L872" s="117">
        <f t="shared" si="81"/>
        <v>1.2</v>
      </c>
      <c r="O872" s="119">
        <v>86</v>
      </c>
      <c r="P872" s="117">
        <f t="shared" si="82"/>
        <v>107.5</v>
      </c>
    </row>
    <row r="873" spans="3:16">
      <c r="C873" s="119">
        <v>63</v>
      </c>
      <c r="D873" s="117">
        <f t="shared" si="79"/>
        <v>51.1875</v>
      </c>
      <c r="H873" s="119">
        <v>0.7</v>
      </c>
      <c r="I873" s="117">
        <f t="shared" si="80"/>
        <v>0.875</v>
      </c>
      <c r="K873" s="122">
        <v>4</v>
      </c>
      <c r="L873" s="117">
        <f t="shared" si="81"/>
        <v>4.8</v>
      </c>
      <c r="O873" s="119">
        <v>80</v>
      </c>
      <c r="P873" s="117">
        <f t="shared" si="82"/>
        <v>100</v>
      </c>
    </row>
    <row r="874" spans="3:16">
      <c r="C874" s="119">
        <v>16</v>
      </c>
      <c r="D874" s="117">
        <f t="shared" si="79"/>
        <v>13</v>
      </c>
      <c r="H874" s="119">
        <v>60</v>
      </c>
      <c r="I874" s="117">
        <f t="shared" si="80"/>
        <v>75</v>
      </c>
      <c r="K874" s="122">
        <v>0.9</v>
      </c>
      <c r="L874" s="117">
        <f t="shared" si="81"/>
        <v>1.08</v>
      </c>
    </row>
    <row r="875" spans="3:16">
      <c r="C875" s="119">
        <v>4</v>
      </c>
      <c r="D875" s="117">
        <f t="shared" si="79"/>
        <v>3.25</v>
      </c>
      <c r="H875" s="119">
        <v>80</v>
      </c>
      <c r="I875" s="117">
        <f t="shared" si="80"/>
        <v>100</v>
      </c>
      <c r="K875" s="122">
        <v>75</v>
      </c>
      <c r="L875" s="117">
        <f t="shared" si="81"/>
        <v>90</v>
      </c>
    </row>
    <row r="876" spans="3:16">
      <c r="C876" s="119">
        <v>16</v>
      </c>
      <c r="D876" s="117">
        <f t="shared" si="79"/>
        <v>13</v>
      </c>
      <c r="H876" s="119">
        <v>80</v>
      </c>
      <c r="I876" s="117">
        <f t="shared" si="80"/>
        <v>100</v>
      </c>
      <c r="K876" s="122">
        <v>100</v>
      </c>
      <c r="L876" s="117">
        <f t="shared" si="81"/>
        <v>120</v>
      </c>
    </row>
    <row r="877" spans="3:16">
      <c r="C877" s="119">
        <v>12</v>
      </c>
      <c r="D877" s="117">
        <f t="shared" si="79"/>
        <v>9.75</v>
      </c>
      <c r="K877" s="122">
        <v>100</v>
      </c>
      <c r="L877" s="117">
        <f t="shared" si="81"/>
        <v>120</v>
      </c>
    </row>
    <row r="878" spans="3:16">
      <c r="C878" s="119" t="s">
        <v>203</v>
      </c>
      <c r="D878" s="117" t="e">
        <f t="shared" si="79"/>
        <v>#VALUE!</v>
      </c>
    </row>
    <row r="879" spans="3:16">
      <c r="C879" s="119">
        <v>6</v>
      </c>
      <c r="D879" s="117">
        <f t="shared" si="79"/>
        <v>4.875</v>
      </c>
    </row>
    <row r="880" spans="3:16">
      <c r="C880" s="119"/>
      <c r="D880" s="117">
        <f t="shared" si="79"/>
        <v>0</v>
      </c>
    </row>
    <row r="881" spans="2:13">
      <c r="C881" s="119">
        <v>6</v>
      </c>
      <c r="D881" s="117">
        <f t="shared" si="79"/>
        <v>4.875</v>
      </c>
    </row>
    <row r="882" spans="2:13">
      <c r="C882" s="117">
        <v>80</v>
      </c>
      <c r="D882" s="117">
        <f t="shared" si="79"/>
        <v>65</v>
      </c>
    </row>
    <row r="883" spans="2:13">
      <c r="C883" s="117">
        <v>80</v>
      </c>
      <c r="D883" s="117">
        <f t="shared" si="79"/>
        <v>65</v>
      </c>
    </row>
    <row r="886" spans="2:13">
      <c r="L886" s="124">
        <v>105</v>
      </c>
      <c r="M886" s="117">
        <f t="shared" ref="M886:M896" si="83">L886*150/130</f>
        <v>121.15384615384616</v>
      </c>
    </row>
    <row r="887" spans="2:13">
      <c r="I887" s="118">
        <v>81</v>
      </c>
      <c r="J887" s="117">
        <f t="shared" ref="J887:J897" si="84">I887*130/100</f>
        <v>105.3</v>
      </c>
      <c r="L887" s="122">
        <v>105</v>
      </c>
      <c r="M887" s="117">
        <f t="shared" si="83"/>
        <v>121.15384615384616</v>
      </c>
    </row>
    <row r="888" spans="2:13">
      <c r="F888" s="118">
        <v>81</v>
      </c>
      <c r="I888" s="119">
        <v>81</v>
      </c>
      <c r="J888" s="117">
        <f t="shared" si="84"/>
        <v>105.3</v>
      </c>
      <c r="L888" s="122">
        <v>105</v>
      </c>
      <c r="M888" s="117">
        <f t="shared" si="83"/>
        <v>121.15384615384616</v>
      </c>
    </row>
    <row r="889" spans="2:13">
      <c r="F889" s="119">
        <v>81</v>
      </c>
      <c r="I889" s="119">
        <v>81</v>
      </c>
      <c r="J889" s="117">
        <f t="shared" si="84"/>
        <v>105.3</v>
      </c>
      <c r="L889" s="122">
        <v>105</v>
      </c>
      <c r="M889" s="117">
        <f t="shared" si="83"/>
        <v>121.15384615384616</v>
      </c>
    </row>
    <row r="890" spans="2:13">
      <c r="F890" s="119">
        <v>81</v>
      </c>
      <c r="I890" s="119">
        <v>81</v>
      </c>
      <c r="J890" s="117">
        <f t="shared" si="84"/>
        <v>105.3</v>
      </c>
      <c r="L890" s="122">
        <v>10</v>
      </c>
      <c r="M890" s="117">
        <f t="shared" si="83"/>
        <v>11.538461538461538</v>
      </c>
    </row>
    <row r="891" spans="2:13">
      <c r="F891" s="119">
        <v>81</v>
      </c>
      <c r="I891" s="119">
        <v>8</v>
      </c>
      <c r="J891" s="117">
        <f t="shared" si="84"/>
        <v>10.4</v>
      </c>
      <c r="L891" s="122">
        <v>4</v>
      </c>
      <c r="M891" s="117">
        <f t="shared" si="83"/>
        <v>4.615384615384615</v>
      </c>
    </row>
    <row r="892" spans="2:13">
      <c r="B892" s="118">
        <v>74</v>
      </c>
      <c r="C892" s="117">
        <f t="shared" ref="C892:C905" si="85">B892*160/150</f>
        <v>78.933333333333337</v>
      </c>
      <c r="F892" s="119">
        <v>8</v>
      </c>
      <c r="I892" s="119">
        <v>3</v>
      </c>
      <c r="J892" s="117">
        <f t="shared" si="84"/>
        <v>3.9</v>
      </c>
      <c r="L892" s="122">
        <v>0.8</v>
      </c>
      <c r="M892" s="117">
        <f t="shared" si="83"/>
        <v>0.92307692307692313</v>
      </c>
    </row>
    <row r="893" spans="2:13">
      <c r="B893" s="119">
        <v>94</v>
      </c>
      <c r="C893" s="117">
        <f t="shared" si="85"/>
        <v>100.26666666666667</v>
      </c>
      <c r="F893" s="119">
        <v>3</v>
      </c>
      <c r="I893" s="119">
        <v>0.6</v>
      </c>
      <c r="J893" s="117">
        <f t="shared" si="84"/>
        <v>0.78</v>
      </c>
      <c r="L893" s="122"/>
      <c r="M893" s="117">
        <f t="shared" si="83"/>
        <v>0</v>
      </c>
    </row>
    <row r="894" spans="2:13">
      <c r="B894" s="119">
        <v>42</v>
      </c>
      <c r="C894" s="117">
        <f t="shared" si="85"/>
        <v>44.8</v>
      </c>
      <c r="F894" s="119">
        <v>0.6</v>
      </c>
      <c r="I894" s="119"/>
      <c r="J894" s="117">
        <f t="shared" si="84"/>
        <v>0</v>
      </c>
      <c r="L894" s="122">
        <v>23</v>
      </c>
      <c r="M894" s="117">
        <f t="shared" si="83"/>
        <v>26.53846153846154</v>
      </c>
    </row>
    <row r="895" spans="2:13">
      <c r="B895" s="119">
        <v>114</v>
      </c>
      <c r="C895" s="117">
        <f t="shared" si="85"/>
        <v>121.6</v>
      </c>
      <c r="F895" s="119"/>
      <c r="I895" s="119">
        <v>18</v>
      </c>
      <c r="J895" s="117">
        <f t="shared" si="84"/>
        <v>23.4</v>
      </c>
      <c r="L895" s="122">
        <v>23</v>
      </c>
      <c r="M895" s="117">
        <f t="shared" si="83"/>
        <v>26.53846153846154</v>
      </c>
    </row>
    <row r="896" spans="2:13">
      <c r="B896" s="119">
        <v>3</v>
      </c>
      <c r="C896" s="117">
        <f t="shared" si="85"/>
        <v>3.2</v>
      </c>
      <c r="F896" s="119">
        <v>18</v>
      </c>
      <c r="I896" s="119">
        <v>18</v>
      </c>
      <c r="J896" s="117">
        <f t="shared" si="84"/>
        <v>23.4</v>
      </c>
      <c r="L896" s="122">
        <v>130</v>
      </c>
      <c r="M896" s="117">
        <f t="shared" si="83"/>
        <v>150</v>
      </c>
    </row>
    <row r="897" spans="2:16">
      <c r="B897" s="119">
        <v>2</v>
      </c>
      <c r="C897" s="117">
        <f t="shared" si="85"/>
        <v>2.1333333333333333</v>
      </c>
      <c r="F897" s="119">
        <v>18</v>
      </c>
      <c r="I897" s="119">
        <v>100</v>
      </c>
      <c r="J897" s="117">
        <f t="shared" si="84"/>
        <v>130</v>
      </c>
    </row>
    <row r="898" spans="2:16">
      <c r="B898" s="119"/>
      <c r="C898" s="117">
        <f t="shared" si="85"/>
        <v>0</v>
      </c>
      <c r="F898" s="119">
        <v>100</v>
      </c>
    </row>
    <row r="899" spans="2:16">
      <c r="B899" s="119">
        <v>4</v>
      </c>
      <c r="C899" s="117">
        <f t="shared" si="85"/>
        <v>4.2666666666666666</v>
      </c>
    </row>
    <row r="900" spans="2:16">
      <c r="B900" s="119">
        <v>4</v>
      </c>
      <c r="C900" s="117">
        <f t="shared" si="85"/>
        <v>4.2666666666666666</v>
      </c>
    </row>
    <row r="901" spans="2:16">
      <c r="B901" s="119">
        <v>7</v>
      </c>
      <c r="C901" s="117">
        <f t="shared" si="85"/>
        <v>7.4666666666666668</v>
      </c>
      <c r="I901" s="124">
        <v>110</v>
      </c>
      <c r="J901" s="117">
        <f t="shared" ref="J901:J912" si="86">I901*250/230</f>
        <v>119.56521739130434</v>
      </c>
      <c r="O901" s="124">
        <v>68</v>
      </c>
      <c r="P901" s="117">
        <f t="shared" ref="P901:P909" si="87">O901*160/142</f>
        <v>76.619718309859152</v>
      </c>
    </row>
    <row r="902" spans="2:16">
      <c r="B902" s="119">
        <v>1.2</v>
      </c>
      <c r="C902" s="117">
        <f t="shared" si="85"/>
        <v>1.28</v>
      </c>
      <c r="I902" s="122">
        <v>110</v>
      </c>
      <c r="J902" s="117">
        <f t="shared" si="86"/>
        <v>119.56521739130434</v>
      </c>
      <c r="O902" s="122">
        <v>102</v>
      </c>
      <c r="P902" s="117">
        <f t="shared" si="87"/>
        <v>114.92957746478874</v>
      </c>
    </row>
    <row r="903" spans="2:16">
      <c r="B903" s="119">
        <v>3</v>
      </c>
      <c r="C903" s="117">
        <f t="shared" si="85"/>
        <v>3.2</v>
      </c>
      <c r="I903" s="122">
        <v>110</v>
      </c>
      <c r="J903" s="117">
        <f t="shared" si="86"/>
        <v>119.56521739130434</v>
      </c>
      <c r="L903" s="118">
        <v>128</v>
      </c>
      <c r="M903" s="117">
        <f t="shared" ref="M903:M910" si="88">L903*130/150</f>
        <v>110.93333333333334</v>
      </c>
      <c r="O903" s="122">
        <v>52</v>
      </c>
      <c r="P903" s="117">
        <f t="shared" si="87"/>
        <v>58.591549295774648</v>
      </c>
    </row>
    <row r="904" spans="2:16">
      <c r="B904" s="119">
        <v>108</v>
      </c>
      <c r="C904" s="117">
        <f t="shared" si="85"/>
        <v>115.2</v>
      </c>
      <c r="I904" s="122">
        <v>110</v>
      </c>
      <c r="J904" s="117">
        <f t="shared" si="86"/>
        <v>119.56521739130434</v>
      </c>
      <c r="L904" s="119">
        <v>128</v>
      </c>
      <c r="M904" s="117">
        <f t="shared" si="88"/>
        <v>110.93333333333334</v>
      </c>
      <c r="O904" s="122">
        <v>108</v>
      </c>
      <c r="P904" s="117">
        <f t="shared" si="87"/>
        <v>121.69014084507042</v>
      </c>
    </row>
    <row r="905" spans="2:16">
      <c r="B905" s="119">
        <v>150</v>
      </c>
      <c r="C905" s="117">
        <f t="shared" si="85"/>
        <v>160</v>
      </c>
      <c r="I905" s="122"/>
      <c r="J905" s="117">
        <f t="shared" si="86"/>
        <v>0</v>
      </c>
      <c r="L905" s="119">
        <v>128</v>
      </c>
      <c r="M905" s="117">
        <f t="shared" si="88"/>
        <v>110.93333333333334</v>
      </c>
      <c r="O905" s="122">
        <v>58</v>
      </c>
      <c r="P905" s="117">
        <f t="shared" si="87"/>
        <v>65.352112676056336</v>
      </c>
    </row>
    <row r="906" spans="2:16">
      <c r="I906" s="122">
        <v>37</v>
      </c>
      <c r="J906" s="117">
        <f t="shared" si="86"/>
        <v>40.217391304347828</v>
      </c>
      <c r="L906" s="119">
        <v>128</v>
      </c>
      <c r="M906" s="117">
        <f t="shared" si="88"/>
        <v>110.93333333333334</v>
      </c>
      <c r="O906" s="122">
        <v>104</v>
      </c>
      <c r="P906" s="117">
        <f t="shared" si="87"/>
        <v>117.1830985915493</v>
      </c>
    </row>
    <row r="907" spans="2:16">
      <c r="I907" s="122">
        <v>37</v>
      </c>
      <c r="J907" s="117">
        <f t="shared" si="86"/>
        <v>40.217391304347828</v>
      </c>
      <c r="L907" s="119">
        <v>24</v>
      </c>
      <c r="M907" s="117">
        <f t="shared" si="88"/>
        <v>20.8</v>
      </c>
      <c r="O907" s="122">
        <v>48</v>
      </c>
      <c r="P907" s="117">
        <f t="shared" si="87"/>
        <v>54.08450704225352</v>
      </c>
    </row>
    <row r="908" spans="2:16">
      <c r="I908" s="122">
        <v>18</v>
      </c>
      <c r="J908" s="117">
        <f t="shared" si="86"/>
        <v>19.565217391304348</v>
      </c>
      <c r="L908" s="119">
        <v>23</v>
      </c>
      <c r="M908" s="117">
        <f t="shared" si="88"/>
        <v>19.933333333333334</v>
      </c>
      <c r="O908" s="122">
        <v>114</v>
      </c>
      <c r="P908" s="117">
        <f t="shared" si="87"/>
        <v>128.45070422535213</v>
      </c>
    </row>
    <row r="909" spans="2:16">
      <c r="I909" s="122">
        <v>46</v>
      </c>
      <c r="J909" s="117">
        <f t="shared" si="86"/>
        <v>50</v>
      </c>
      <c r="L909" s="119">
        <v>5</v>
      </c>
      <c r="M909" s="117">
        <f t="shared" si="88"/>
        <v>4.333333333333333</v>
      </c>
      <c r="O909" s="122">
        <v>142</v>
      </c>
      <c r="P909" s="117">
        <f t="shared" si="87"/>
        <v>160</v>
      </c>
    </row>
    <row r="910" spans="2:16">
      <c r="I910" s="122">
        <v>121</v>
      </c>
      <c r="J910" s="117">
        <f t="shared" si="86"/>
        <v>131.52173913043478</v>
      </c>
      <c r="L910" s="119">
        <v>150</v>
      </c>
      <c r="M910" s="117">
        <f t="shared" si="88"/>
        <v>130</v>
      </c>
    </row>
    <row r="911" spans="2:16">
      <c r="I911" s="122">
        <v>5</v>
      </c>
      <c r="J911" s="117">
        <f t="shared" si="86"/>
        <v>5.4347826086956523</v>
      </c>
    </row>
    <row r="912" spans="2:16">
      <c r="I912" s="122">
        <v>230</v>
      </c>
      <c r="J912" s="117">
        <f t="shared" si="86"/>
        <v>250</v>
      </c>
    </row>
    <row r="920" spans="7:8">
      <c r="G920" s="118">
        <v>90</v>
      </c>
      <c r="H920" s="117">
        <f t="shared" ref="H920:H928" si="89">G920*60/80</f>
        <v>67.5</v>
      </c>
    </row>
    <row r="921" spans="7:8">
      <c r="G921" s="119">
        <v>50</v>
      </c>
      <c r="H921" s="117">
        <f t="shared" si="89"/>
        <v>37.5</v>
      </c>
    </row>
    <row r="922" spans="7:8">
      <c r="G922" s="119">
        <v>1.2</v>
      </c>
      <c r="H922" s="117">
        <f t="shared" si="89"/>
        <v>0.9</v>
      </c>
    </row>
    <row r="923" spans="7:8">
      <c r="G923" s="119">
        <v>1.2</v>
      </c>
      <c r="H923" s="117">
        <f t="shared" si="89"/>
        <v>0.9</v>
      </c>
    </row>
    <row r="924" spans="7:8">
      <c r="G924" s="119">
        <v>23</v>
      </c>
      <c r="H924" s="117">
        <f t="shared" si="89"/>
        <v>17.25</v>
      </c>
    </row>
    <row r="925" spans="7:8">
      <c r="G925" s="119">
        <v>23</v>
      </c>
      <c r="H925" s="117">
        <f t="shared" si="89"/>
        <v>17.25</v>
      </c>
    </row>
    <row r="926" spans="7:8">
      <c r="G926" s="119">
        <v>8</v>
      </c>
      <c r="H926" s="117">
        <f t="shared" si="89"/>
        <v>6</v>
      </c>
    </row>
    <row r="927" spans="7:8">
      <c r="G927" s="119">
        <v>30</v>
      </c>
      <c r="H927" s="117">
        <f t="shared" si="89"/>
        <v>22.5</v>
      </c>
    </row>
    <row r="928" spans="7:8">
      <c r="G928" s="119">
        <v>80</v>
      </c>
      <c r="H928" s="117">
        <f t="shared" si="89"/>
        <v>60</v>
      </c>
    </row>
    <row r="930" spans="3:15">
      <c r="C930" s="118">
        <v>4.2</v>
      </c>
      <c r="D930" s="120">
        <v>5.6</v>
      </c>
      <c r="E930" s="120">
        <v>20.3</v>
      </c>
      <c r="F930" s="120">
        <v>165.3</v>
      </c>
      <c r="G930" s="120">
        <v>0.27</v>
      </c>
      <c r="J930" s="118">
        <v>4.2</v>
      </c>
      <c r="K930" s="120">
        <v>5.6</v>
      </c>
      <c r="L930" s="120">
        <v>20.3</v>
      </c>
      <c r="M930" s="120">
        <v>165.3</v>
      </c>
      <c r="N930" s="120">
        <v>0.27</v>
      </c>
    </row>
    <row r="931" spans="3:15">
      <c r="C931" s="117">
        <f>C930*50/70</f>
        <v>3</v>
      </c>
      <c r="D931" s="117">
        <f>D930*50/70</f>
        <v>4</v>
      </c>
      <c r="E931" s="117">
        <f>E930*50/70</f>
        <v>14.5</v>
      </c>
      <c r="F931" s="117">
        <f>F930*50/70</f>
        <v>118.07142857142857</v>
      </c>
      <c r="G931" s="117">
        <f>G930*50/70</f>
        <v>0.19285714285714287</v>
      </c>
      <c r="J931" s="125">
        <f>J930*50/70</f>
        <v>3</v>
      </c>
      <c r="K931" s="125">
        <f>K930*50/70</f>
        <v>4</v>
      </c>
      <c r="L931" s="125">
        <f>L930*50/70</f>
        <v>14.5</v>
      </c>
      <c r="M931" s="125">
        <f>M930*50/70</f>
        <v>118.07142857142857</v>
      </c>
      <c r="N931" s="125">
        <f>N930*50/70</f>
        <v>0.19285714285714287</v>
      </c>
    </row>
    <row r="941" spans="3:15">
      <c r="I941" s="118">
        <v>46</v>
      </c>
      <c r="J941" s="117">
        <f t="shared" ref="J941:J955" si="90">I941*50/70</f>
        <v>32.857142857142854</v>
      </c>
    </row>
    <row r="942" spans="3:15">
      <c r="I942" s="119">
        <v>2</v>
      </c>
      <c r="J942" s="117">
        <f t="shared" si="90"/>
        <v>1.4285714285714286</v>
      </c>
      <c r="N942" s="118">
        <v>20</v>
      </c>
      <c r="O942" s="117">
        <f>N942*150/160</f>
        <v>18.75</v>
      </c>
    </row>
    <row r="943" spans="3:15">
      <c r="I943" s="119">
        <v>8</v>
      </c>
      <c r="J943" s="117">
        <f t="shared" si="90"/>
        <v>5.7142857142857144</v>
      </c>
      <c r="N943" s="119">
        <v>158</v>
      </c>
      <c r="O943" s="117">
        <f>N943*150/160</f>
        <v>148.125</v>
      </c>
    </row>
    <row r="944" spans="3:15">
      <c r="I944" s="119">
        <v>2</v>
      </c>
      <c r="J944" s="117">
        <f t="shared" si="90"/>
        <v>1.4285714285714286</v>
      </c>
      <c r="N944" s="119">
        <v>6</v>
      </c>
      <c r="O944" s="117">
        <f>N944*150/160</f>
        <v>5.625</v>
      </c>
    </row>
    <row r="945" spans="9:16">
      <c r="I945" s="119">
        <v>4</v>
      </c>
      <c r="J945" s="117">
        <f t="shared" si="90"/>
        <v>2.8571428571428572</v>
      </c>
      <c r="N945" s="119">
        <v>160</v>
      </c>
      <c r="O945" s="117">
        <f>N945*150/160</f>
        <v>150</v>
      </c>
    </row>
    <row r="946" spans="9:16">
      <c r="I946" s="119">
        <v>11</v>
      </c>
      <c r="J946" s="117">
        <f t="shared" si="90"/>
        <v>7.8571428571428568</v>
      </c>
    </row>
    <row r="947" spans="9:16">
      <c r="I947" s="119">
        <v>1.4</v>
      </c>
      <c r="J947" s="117">
        <f t="shared" si="90"/>
        <v>1</v>
      </c>
    </row>
    <row r="948" spans="9:16">
      <c r="I948" s="119">
        <v>3</v>
      </c>
      <c r="J948" s="117">
        <f t="shared" si="90"/>
        <v>2.1428571428571428</v>
      </c>
      <c r="O948" s="124">
        <v>19</v>
      </c>
      <c r="P948" s="117">
        <f>O948*200/150</f>
        <v>25.333333333333332</v>
      </c>
    </row>
    <row r="949" spans="9:16">
      <c r="I949" s="119">
        <v>1.25</v>
      </c>
      <c r="J949" s="117">
        <f t="shared" si="90"/>
        <v>0.8928571428571429</v>
      </c>
      <c r="O949" s="122">
        <v>148</v>
      </c>
      <c r="P949" s="117">
        <f>O949*200/150</f>
        <v>197.33333333333334</v>
      </c>
    </row>
    <row r="950" spans="9:16">
      <c r="I950" s="119">
        <v>0.3</v>
      </c>
      <c r="J950" s="117">
        <f t="shared" si="90"/>
        <v>0.21428571428571427</v>
      </c>
      <c r="O950" s="122">
        <v>5</v>
      </c>
      <c r="P950" s="117">
        <f>O950*200/150</f>
        <v>6.666666666666667</v>
      </c>
    </row>
    <row r="951" spans="9:16">
      <c r="I951" s="119">
        <v>20</v>
      </c>
      <c r="J951" s="117">
        <f t="shared" si="90"/>
        <v>14.285714285714286</v>
      </c>
      <c r="O951" s="122">
        <v>150</v>
      </c>
      <c r="P951" s="117">
        <f>O951*200/150</f>
        <v>200</v>
      </c>
    </row>
    <row r="952" spans="9:16">
      <c r="I952" s="119">
        <v>18</v>
      </c>
      <c r="J952" s="117">
        <f t="shared" si="90"/>
        <v>12.857142857142858</v>
      </c>
    </row>
    <row r="953" spans="9:16">
      <c r="I953" s="119">
        <v>85</v>
      </c>
      <c r="J953" s="117">
        <f t="shared" si="90"/>
        <v>60.714285714285715</v>
      </c>
    </row>
    <row r="954" spans="9:16">
      <c r="I954" s="119">
        <v>0.2</v>
      </c>
      <c r="J954" s="117">
        <f t="shared" si="90"/>
        <v>0.14285714285714285</v>
      </c>
    </row>
    <row r="955" spans="9:16">
      <c r="I955" s="119">
        <v>70</v>
      </c>
      <c r="J955" s="117">
        <f t="shared" si="90"/>
        <v>50</v>
      </c>
    </row>
    <row r="961" spans="6:20">
      <c r="L961" s="118">
        <v>24</v>
      </c>
      <c r="M961" s="117">
        <f>L961*140/200</f>
        <v>16.8</v>
      </c>
    </row>
    <row r="962" spans="6:20">
      <c r="L962" s="119">
        <v>197</v>
      </c>
      <c r="M962" s="117">
        <f>L962*140/200</f>
        <v>137.9</v>
      </c>
      <c r="P962" s="118">
        <v>5.22</v>
      </c>
      <c r="Q962" s="120">
        <v>4.5</v>
      </c>
      <c r="R962" s="120">
        <v>8.69</v>
      </c>
      <c r="S962" s="120">
        <v>97.26</v>
      </c>
      <c r="T962" s="120">
        <v>2.35</v>
      </c>
    </row>
    <row r="963" spans="6:20">
      <c r="L963" s="119">
        <v>7</v>
      </c>
      <c r="M963" s="117">
        <f>L963*140/200</f>
        <v>4.9000000000000004</v>
      </c>
      <c r="P963" s="125">
        <f>P962*200/180</f>
        <v>5.8</v>
      </c>
      <c r="Q963" s="125">
        <f>Q962*200/180</f>
        <v>5</v>
      </c>
      <c r="R963" s="125">
        <f>R962*200/180</f>
        <v>9.655555555555555</v>
      </c>
      <c r="S963" s="125">
        <f>S962*200/180</f>
        <v>108.06666666666666</v>
      </c>
      <c r="T963" s="125">
        <f>T962*200/180</f>
        <v>2.6111111111111112</v>
      </c>
    </row>
    <row r="964" spans="6:20">
      <c r="L964" s="119">
        <v>200</v>
      </c>
      <c r="M964" s="117">
        <f>L964*140/200</f>
        <v>140</v>
      </c>
    </row>
    <row r="966" spans="6:20">
      <c r="F966" s="118">
        <v>123</v>
      </c>
      <c r="G966" s="117">
        <f t="shared" ref="G966:G972" si="91">F966*120/150</f>
        <v>98.4</v>
      </c>
    </row>
    <row r="967" spans="6:20">
      <c r="F967" s="119">
        <v>18</v>
      </c>
      <c r="G967" s="117">
        <f t="shared" si="91"/>
        <v>14.4</v>
      </c>
    </row>
    <row r="968" spans="6:20">
      <c r="F968" s="119">
        <v>12</v>
      </c>
      <c r="G968" s="117">
        <f t="shared" si="91"/>
        <v>9.6</v>
      </c>
    </row>
    <row r="969" spans="6:20">
      <c r="F969" s="119">
        <v>12</v>
      </c>
      <c r="G969" s="117">
        <f t="shared" si="91"/>
        <v>9.6</v>
      </c>
    </row>
    <row r="970" spans="6:20">
      <c r="F970" s="119">
        <v>143</v>
      </c>
      <c r="G970" s="117">
        <f t="shared" si="91"/>
        <v>114.4</v>
      </c>
    </row>
    <row r="971" spans="6:20">
      <c r="F971" s="119">
        <v>150</v>
      </c>
      <c r="G971" s="117">
        <f t="shared" si="91"/>
        <v>120</v>
      </c>
    </row>
    <row r="972" spans="6:20">
      <c r="F972" s="119">
        <v>3</v>
      </c>
      <c r="G972" s="117">
        <f t="shared" si="91"/>
        <v>2.4</v>
      </c>
    </row>
    <row r="973" spans="6:20">
      <c r="M973" s="124">
        <v>34</v>
      </c>
      <c r="N973" s="117">
        <f>M973*150/100</f>
        <v>51</v>
      </c>
    </row>
    <row r="974" spans="6:20">
      <c r="J974" s="124">
        <v>24</v>
      </c>
      <c r="K974" s="117">
        <f>J974*100/70</f>
        <v>34.285714285714285</v>
      </c>
      <c r="M974" s="122">
        <v>204</v>
      </c>
      <c r="N974" s="117">
        <f>M974*150/100</f>
        <v>306</v>
      </c>
    </row>
    <row r="975" spans="6:20">
      <c r="J975" s="122">
        <v>144</v>
      </c>
      <c r="K975" s="117">
        <f>J975*100/70</f>
        <v>205.71428571428572</v>
      </c>
      <c r="M975" s="122">
        <v>97</v>
      </c>
      <c r="N975" s="117">
        <f>M975*150/100</f>
        <v>145.5</v>
      </c>
    </row>
    <row r="976" spans="6:20">
      <c r="J976" s="122">
        <v>68</v>
      </c>
      <c r="K976" s="117">
        <f>J976*100/70</f>
        <v>97.142857142857139</v>
      </c>
      <c r="M976" s="122">
        <v>3</v>
      </c>
      <c r="N976" s="117">
        <f>M976*150/100</f>
        <v>4.5</v>
      </c>
    </row>
    <row r="977" spans="5:16">
      <c r="J977" s="122">
        <v>2</v>
      </c>
      <c r="K977" s="117">
        <f>J977*100/70</f>
        <v>2.8571428571428572</v>
      </c>
      <c r="M977" s="122">
        <v>100</v>
      </c>
      <c r="N977" s="117">
        <f>M977*150/100</f>
        <v>150</v>
      </c>
    </row>
    <row r="978" spans="5:16">
      <c r="J978" s="122">
        <v>70</v>
      </c>
      <c r="K978" s="117">
        <f>J978*100/70</f>
        <v>100</v>
      </c>
    </row>
    <row r="980" spans="5:16">
      <c r="E980" s="124">
        <v>68</v>
      </c>
      <c r="F980" s="117">
        <f t="shared" ref="F980:F990" si="92">E980*150/140</f>
        <v>72.857142857142861</v>
      </c>
    </row>
    <row r="981" spans="5:16">
      <c r="E981" s="122">
        <v>81</v>
      </c>
      <c r="F981" s="117">
        <f t="shared" si="92"/>
        <v>86.785714285714292</v>
      </c>
      <c r="L981" s="118">
        <v>85</v>
      </c>
      <c r="M981" s="117">
        <f t="shared" ref="M981:M990" si="93">L981*130/128</f>
        <v>86.328125</v>
      </c>
      <c r="O981" s="118">
        <v>135</v>
      </c>
      <c r="P981" s="117">
        <f t="shared" ref="P981:P988" si="94">O981*130/150</f>
        <v>117</v>
      </c>
    </row>
    <row r="982" spans="5:16">
      <c r="E982" s="122">
        <v>35</v>
      </c>
      <c r="F982" s="117">
        <f t="shared" si="92"/>
        <v>37.5</v>
      </c>
      <c r="L982" s="119">
        <v>85</v>
      </c>
      <c r="M982" s="117">
        <f t="shared" si="93"/>
        <v>86.328125</v>
      </c>
      <c r="O982" s="119">
        <v>5</v>
      </c>
      <c r="P982" s="117">
        <f t="shared" si="94"/>
        <v>4.333333333333333</v>
      </c>
    </row>
    <row r="983" spans="5:16">
      <c r="E983" s="122"/>
      <c r="F983" s="117">
        <f t="shared" si="92"/>
        <v>0</v>
      </c>
      <c r="L983" s="119">
        <v>85</v>
      </c>
      <c r="M983" s="117">
        <f t="shared" si="93"/>
        <v>86.328125</v>
      </c>
      <c r="O983" s="119">
        <v>15</v>
      </c>
      <c r="P983" s="117">
        <f t="shared" si="94"/>
        <v>13</v>
      </c>
    </row>
    <row r="984" spans="5:16">
      <c r="E984" s="122">
        <v>13</v>
      </c>
      <c r="F984" s="117">
        <f t="shared" si="92"/>
        <v>13.928571428571429</v>
      </c>
      <c r="L984" s="119">
        <v>85</v>
      </c>
      <c r="M984" s="117">
        <f t="shared" si="93"/>
        <v>86.328125</v>
      </c>
      <c r="O984" s="119">
        <v>10</v>
      </c>
      <c r="P984" s="117">
        <f t="shared" si="94"/>
        <v>8.6666666666666661</v>
      </c>
    </row>
    <row r="985" spans="5:16">
      <c r="E985" s="122">
        <v>13</v>
      </c>
      <c r="F985" s="117">
        <f t="shared" si="92"/>
        <v>13.928571428571429</v>
      </c>
      <c r="L985" s="119">
        <v>10</v>
      </c>
      <c r="M985" s="117">
        <f t="shared" si="93"/>
        <v>10.15625</v>
      </c>
      <c r="O985" s="119">
        <v>11</v>
      </c>
      <c r="P985" s="117">
        <f t="shared" si="94"/>
        <v>9.5333333333333332</v>
      </c>
    </row>
    <row r="986" spans="5:16">
      <c r="E986" s="122">
        <v>5</v>
      </c>
      <c r="F986" s="117">
        <f t="shared" si="92"/>
        <v>5.3571428571428568</v>
      </c>
      <c r="L986" s="119">
        <v>4</v>
      </c>
      <c r="M986" s="117">
        <f t="shared" si="93"/>
        <v>4.0625</v>
      </c>
      <c r="O986" s="119">
        <v>176</v>
      </c>
      <c r="P986" s="117">
        <f t="shared" si="94"/>
        <v>152.53333333333333</v>
      </c>
    </row>
    <row r="987" spans="5:16">
      <c r="E987" s="122">
        <v>13</v>
      </c>
      <c r="F987" s="117">
        <f t="shared" si="92"/>
        <v>13.928571428571429</v>
      </c>
      <c r="L987" s="119">
        <v>0.7</v>
      </c>
      <c r="M987" s="117">
        <f t="shared" si="93"/>
        <v>0.7109375</v>
      </c>
      <c r="O987" s="119">
        <v>3</v>
      </c>
      <c r="P987" s="117">
        <f t="shared" si="94"/>
        <v>2.6</v>
      </c>
    </row>
    <row r="988" spans="5:16">
      <c r="E988" s="122">
        <v>35</v>
      </c>
      <c r="F988" s="117">
        <f t="shared" si="92"/>
        <v>37.5</v>
      </c>
      <c r="L988" s="119"/>
      <c r="M988" s="117">
        <f t="shared" si="93"/>
        <v>0</v>
      </c>
      <c r="O988" s="119">
        <v>150</v>
      </c>
      <c r="P988" s="117">
        <f t="shared" si="94"/>
        <v>130</v>
      </c>
    </row>
    <row r="989" spans="5:16">
      <c r="E989" s="122">
        <v>70</v>
      </c>
      <c r="F989" s="117">
        <f t="shared" si="92"/>
        <v>75</v>
      </c>
      <c r="L989" s="119">
        <v>23</v>
      </c>
      <c r="M989" s="117">
        <f t="shared" si="93"/>
        <v>23.359375</v>
      </c>
    </row>
    <row r="990" spans="5:16">
      <c r="E990" s="122">
        <v>140</v>
      </c>
      <c r="F990" s="117">
        <f t="shared" si="92"/>
        <v>150</v>
      </c>
      <c r="L990" s="119">
        <v>23</v>
      </c>
      <c r="M990" s="117">
        <f t="shared" si="93"/>
        <v>23.359375</v>
      </c>
    </row>
    <row r="997" spans="9:14">
      <c r="J997" s="118">
        <v>0.98</v>
      </c>
      <c r="K997" s="120">
        <v>5.05</v>
      </c>
      <c r="L997" s="120">
        <v>5.75</v>
      </c>
      <c r="M997" s="120">
        <v>73</v>
      </c>
      <c r="N997" s="120">
        <v>22.8</v>
      </c>
    </row>
    <row r="998" spans="9:14">
      <c r="J998" s="125">
        <f>J997*60/60</f>
        <v>0.98</v>
      </c>
      <c r="K998" s="125">
        <f>K997*60/60</f>
        <v>5.05</v>
      </c>
      <c r="L998" s="125">
        <f>L997*60/60</f>
        <v>5.75</v>
      </c>
      <c r="M998" s="125">
        <f>M997*60/60</f>
        <v>73</v>
      </c>
      <c r="N998" s="125">
        <f>N997*60/60</f>
        <v>22.8</v>
      </c>
    </row>
    <row r="1002" spans="9:14">
      <c r="I1002" s="118">
        <v>13</v>
      </c>
      <c r="J1002" s="117">
        <f t="shared" ref="J1002:J1032" si="95">I1002*150/200</f>
        <v>9.75</v>
      </c>
    </row>
    <row r="1003" spans="9:14">
      <c r="I1003" s="119">
        <v>13</v>
      </c>
      <c r="J1003" s="117">
        <f t="shared" si="95"/>
        <v>9.75</v>
      </c>
    </row>
    <row r="1004" spans="9:14">
      <c r="I1004" s="119"/>
      <c r="J1004" s="117">
        <f t="shared" si="95"/>
        <v>0</v>
      </c>
    </row>
    <row r="1005" spans="9:14">
      <c r="I1005" s="119">
        <v>2.4</v>
      </c>
      <c r="J1005" s="117">
        <f t="shared" si="95"/>
        <v>1.8</v>
      </c>
    </row>
    <row r="1006" spans="9:14">
      <c r="I1006" s="119">
        <v>2.4</v>
      </c>
      <c r="J1006" s="117">
        <f t="shared" si="95"/>
        <v>1.8</v>
      </c>
    </row>
    <row r="1007" spans="9:14">
      <c r="I1007" s="119">
        <v>1.6</v>
      </c>
      <c r="J1007" s="117">
        <f t="shared" si="95"/>
        <v>1.2</v>
      </c>
    </row>
    <row r="1008" spans="9:14">
      <c r="I1008" s="119">
        <v>250</v>
      </c>
      <c r="J1008" s="117">
        <f t="shared" si="95"/>
        <v>187.5</v>
      </c>
    </row>
    <row r="1009" spans="9:10">
      <c r="I1009" s="119">
        <v>200</v>
      </c>
      <c r="J1009" s="117">
        <f t="shared" si="95"/>
        <v>150</v>
      </c>
    </row>
    <row r="1010" spans="9:10">
      <c r="I1010" s="119"/>
      <c r="J1010" s="117">
        <f t="shared" si="95"/>
        <v>0</v>
      </c>
    </row>
    <row r="1011" spans="9:10">
      <c r="I1011" s="119"/>
      <c r="J1011" s="117">
        <f t="shared" si="95"/>
        <v>0</v>
      </c>
    </row>
    <row r="1012" spans="9:10">
      <c r="I1012" s="119">
        <v>60</v>
      </c>
      <c r="J1012" s="117">
        <f t="shared" si="95"/>
        <v>45</v>
      </c>
    </row>
    <row r="1013" spans="9:10">
      <c r="I1013" s="119">
        <v>60</v>
      </c>
      <c r="J1013" s="117">
        <f t="shared" si="95"/>
        <v>45</v>
      </c>
    </row>
    <row r="1014" spans="9:10">
      <c r="I1014" s="119">
        <v>60</v>
      </c>
      <c r="J1014" s="117">
        <f t="shared" si="95"/>
        <v>45</v>
      </c>
    </row>
    <row r="1015" spans="9:10">
      <c r="I1015" s="119">
        <v>60</v>
      </c>
      <c r="J1015" s="117">
        <f t="shared" si="95"/>
        <v>45</v>
      </c>
    </row>
    <row r="1016" spans="9:10">
      <c r="I1016" s="119">
        <v>4</v>
      </c>
      <c r="J1016" s="117">
        <f t="shared" si="95"/>
        <v>3</v>
      </c>
    </row>
    <row r="1017" spans="9:10">
      <c r="I1017" s="119"/>
      <c r="J1017" s="117">
        <f t="shared" si="95"/>
        <v>0</v>
      </c>
    </row>
    <row r="1018" spans="9:10">
      <c r="I1018" s="119">
        <v>8</v>
      </c>
      <c r="J1018" s="117">
        <f t="shared" si="95"/>
        <v>6</v>
      </c>
    </row>
    <row r="1019" spans="9:10">
      <c r="I1019" s="119">
        <v>8</v>
      </c>
      <c r="J1019" s="117">
        <f t="shared" si="95"/>
        <v>6</v>
      </c>
    </row>
    <row r="1020" spans="9:10">
      <c r="I1020" s="119">
        <v>4</v>
      </c>
      <c r="J1020" s="117">
        <f t="shared" si="95"/>
        <v>3</v>
      </c>
    </row>
    <row r="1021" spans="9:10">
      <c r="I1021" s="119">
        <v>12</v>
      </c>
      <c r="J1021" s="117">
        <f t="shared" si="95"/>
        <v>9</v>
      </c>
    </row>
    <row r="1022" spans="9:10">
      <c r="I1022" s="119">
        <v>2</v>
      </c>
      <c r="J1022" s="117">
        <f t="shared" si="95"/>
        <v>1.5</v>
      </c>
    </row>
    <row r="1023" spans="9:10">
      <c r="I1023" s="119">
        <v>150</v>
      </c>
      <c r="J1023" s="117">
        <f t="shared" si="95"/>
        <v>112.5</v>
      </c>
    </row>
    <row r="1024" spans="9:10">
      <c r="I1024" s="119">
        <v>200</v>
      </c>
      <c r="J1024" s="117">
        <f t="shared" si="95"/>
        <v>150</v>
      </c>
    </row>
    <row r="1025" spans="9:10">
      <c r="I1025" s="119">
        <v>6</v>
      </c>
      <c r="J1025" s="117">
        <f t="shared" si="95"/>
        <v>4.5</v>
      </c>
    </row>
    <row r="1026" spans="9:10">
      <c r="I1026" s="119">
        <v>206</v>
      </c>
      <c r="J1026" s="117">
        <f t="shared" si="95"/>
        <v>154.5</v>
      </c>
    </row>
    <row r="1027" spans="9:10">
      <c r="I1027" s="119">
        <v>8</v>
      </c>
      <c r="J1027" s="117">
        <f t="shared" si="95"/>
        <v>6</v>
      </c>
    </row>
    <row r="1028" spans="9:10">
      <c r="I1028" s="119">
        <v>200</v>
      </c>
      <c r="J1028" s="117">
        <f t="shared" si="95"/>
        <v>150</v>
      </c>
    </row>
    <row r="1029" spans="9:10">
      <c r="I1029" s="119">
        <v>6</v>
      </c>
      <c r="J1029" s="117">
        <f t="shared" si="95"/>
        <v>4.5</v>
      </c>
    </row>
    <row r="1030" spans="9:10">
      <c r="I1030" s="119">
        <v>206</v>
      </c>
      <c r="J1030" s="117">
        <f t="shared" si="95"/>
        <v>154.5</v>
      </c>
    </row>
    <row r="1031" spans="9:10">
      <c r="I1031" s="119">
        <v>8</v>
      </c>
      <c r="J1031" s="117">
        <f t="shared" si="95"/>
        <v>6</v>
      </c>
    </row>
    <row r="1032" spans="9:10">
      <c r="J1032" s="117">
        <f t="shared" si="95"/>
        <v>0</v>
      </c>
    </row>
    <row r="1051" spans="3:17" ht="70.2">
      <c r="C1051" s="118">
        <v>6.9</v>
      </c>
      <c r="D1051" s="120">
        <v>8.32</v>
      </c>
      <c r="E1051" s="120">
        <v>8.6199999999999992</v>
      </c>
      <c r="F1051" s="120">
        <v>143</v>
      </c>
      <c r="G1051" s="120">
        <v>20.21</v>
      </c>
      <c r="H1051" s="120">
        <v>61.38</v>
      </c>
      <c r="I1051" s="120">
        <v>31.05</v>
      </c>
      <c r="J1051" s="120">
        <v>1.1000000000000001</v>
      </c>
      <c r="M1051" s="139">
        <v>6.9</v>
      </c>
      <c r="N1051" s="140">
        <v>4.5</v>
      </c>
      <c r="O1051" s="140">
        <v>31.28</v>
      </c>
      <c r="P1051" s="140">
        <v>93.56</v>
      </c>
      <c r="Q1051" s="140">
        <v>1.1200000000000001</v>
      </c>
    </row>
    <row r="1052" spans="3:17">
      <c r="C1052" s="117">
        <v>0.12</v>
      </c>
      <c r="D1052" s="117">
        <v>1.5</v>
      </c>
      <c r="E1052" s="117">
        <v>0.15</v>
      </c>
      <c r="F1052" s="117">
        <v>15</v>
      </c>
      <c r="G1052" s="117">
        <v>0.04</v>
      </c>
      <c r="H1052" s="117">
        <v>4.25</v>
      </c>
      <c r="I1052" s="117">
        <v>0.35</v>
      </c>
      <c r="J1052" s="117">
        <v>0.01</v>
      </c>
      <c r="M1052" s="125">
        <f>M1051*70/60</f>
        <v>8.0500000000000007</v>
      </c>
      <c r="N1052" s="125">
        <f>N1051*70/60</f>
        <v>5.25</v>
      </c>
      <c r="O1052" s="125">
        <f>O1051*70/60</f>
        <v>36.493333333333332</v>
      </c>
      <c r="P1052" s="125">
        <f>P1051*70/60</f>
        <v>109.15333333333334</v>
      </c>
      <c r="Q1052" s="125">
        <f>Q1051*70/60</f>
        <v>1.3066666666666669</v>
      </c>
    </row>
    <row r="1053" spans="3:17">
      <c r="C1053" s="117">
        <f t="shared" ref="C1053:J1053" si="96">C1051-C1052</f>
        <v>6.78</v>
      </c>
      <c r="D1053" s="117">
        <f t="shared" si="96"/>
        <v>6.82</v>
      </c>
      <c r="E1053" s="117">
        <f t="shared" si="96"/>
        <v>8.4699999999999989</v>
      </c>
      <c r="F1053" s="117">
        <f t="shared" si="96"/>
        <v>128</v>
      </c>
      <c r="G1053" s="117">
        <f t="shared" si="96"/>
        <v>20.170000000000002</v>
      </c>
      <c r="H1053" s="117">
        <f t="shared" si="96"/>
        <v>57.13</v>
      </c>
      <c r="I1053" s="117">
        <f t="shared" si="96"/>
        <v>30.7</v>
      </c>
      <c r="J1053" s="117">
        <f t="shared" si="96"/>
        <v>1.0900000000000001</v>
      </c>
    </row>
    <row r="1056" spans="3:17">
      <c r="D1056" s="124">
        <v>32</v>
      </c>
      <c r="E1056" s="117">
        <f>D1056*85/75</f>
        <v>36.266666666666666</v>
      </c>
      <c r="G1056" s="118">
        <v>40</v>
      </c>
      <c r="H1056" s="117">
        <f t="shared" ref="H1056:H1065" si="97">G1056*160/63</f>
        <v>101.58730158730158</v>
      </c>
      <c r="L1056" s="118">
        <v>4.71</v>
      </c>
      <c r="M1056" s="120">
        <v>5.28</v>
      </c>
      <c r="N1056" s="120">
        <v>20.41</v>
      </c>
      <c r="O1056" s="120">
        <v>148</v>
      </c>
      <c r="P1056" s="120">
        <v>1.47</v>
      </c>
    </row>
    <row r="1057" spans="4:16">
      <c r="D1057" s="122">
        <v>78</v>
      </c>
      <c r="E1057" s="117">
        <f t="shared" ref="E1057:E1068" si="98">D1057*75/50</f>
        <v>117</v>
      </c>
      <c r="G1057" s="119">
        <v>25</v>
      </c>
      <c r="H1057" s="117">
        <f t="shared" si="97"/>
        <v>63.492063492063494</v>
      </c>
      <c r="L1057" s="125">
        <f>L1056*200/150</f>
        <v>6.28</v>
      </c>
      <c r="M1057" s="125">
        <f>M1056*200/150</f>
        <v>7.04</v>
      </c>
      <c r="N1057" s="125">
        <f>N1056*200/150</f>
        <v>27.213333333333335</v>
      </c>
      <c r="O1057" s="125">
        <f>O1056*200/150</f>
        <v>197.33333333333334</v>
      </c>
      <c r="P1057" s="125">
        <f>P1056*200/150</f>
        <v>1.96</v>
      </c>
    </row>
    <row r="1058" spans="4:16">
      <c r="D1058" s="122">
        <v>6</v>
      </c>
      <c r="E1058" s="117">
        <f t="shared" si="98"/>
        <v>9</v>
      </c>
      <c r="G1058" s="119">
        <v>65</v>
      </c>
      <c r="H1058" s="117">
        <f t="shared" si="97"/>
        <v>165.07936507936509</v>
      </c>
    </row>
    <row r="1059" spans="4:16">
      <c r="D1059" s="122">
        <v>3</v>
      </c>
      <c r="E1059" s="117">
        <f t="shared" si="98"/>
        <v>4.5</v>
      </c>
      <c r="G1059" s="119">
        <v>2.5</v>
      </c>
      <c r="H1059" s="117">
        <f t="shared" si="97"/>
        <v>6.3492063492063489</v>
      </c>
    </row>
    <row r="1060" spans="4:16">
      <c r="D1060" s="122">
        <v>3</v>
      </c>
      <c r="E1060" s="117">
        <f t="shared" si="98"/>
        <v>4.5</v>
      </c>
      <c r="G1060" s="119">
        <v>63</v>
      </c>
      <c r="H1060" s="117">
        <f t="shared" si="97"/>
        <v>160</v>
      </c>
    </row>
    <row r="1061" spans="4:16">
      <c r="D1061" s="122">
        <v>116</v>
      </c>
      <c r="E1061" s="117">
        <f t="shared" si="98"/>
        <v>174</v>
      </c>
      <c r="G1061" s="122">
        <v>5</v>
      </c>
      <c r="H1061" s="117">
        <f t="shared" si="97"/>
        <v>12.698412698412698</v>
      </c>
    </row>
    <row r="1062" spans="4:16">
      <c r="D1062" s="122">
        <v>3</v>
      </c>
      <c r="E1062" s="117">
        <f t="shared" si="98"/>
        <v>4.5</v>
      </c>
      <c r="G1062" s="122">
        <v>120</v>
      </c>
      <c r="H1062" s="117">
        <f t="shared" si="97"/>
        <v>304.76190476190476</v>
      </c>
    </row>
    <row r="1063" spans="4:16">
      <c r="D1063" s="122">
        <v>75</v>
      </c>
      <c r="E1063" s="117">
        <f t="shared" si="98"/>
        <v>112.5</v>
      </c>
      <c r="G1063" s="122">
        <v>85</v>
      </c>
      <c r="H1063" s="117">
        <f t="shared" si="97"/>
        <v>215.87301587301587</v>
      </c>
    </row>
    <row r="1064" spans="4:16">
      <c r="D1064" s="122">
        <v>200</v>
      </c>
      <c r="E1064" s="117">
        <f t="shared" si="98"/>
        <v>300</v>
      </c>
      <c r="G1064" s="122">
        <v>106</v>
      </c>
      <c r="H1064" s="117">
        <f t="shared" si="97"/>
        <v>269.20634920634922</v>
      </c>
    </row>
    <row r="1065" spans="4:16">
      <c r="D1065" s="119">
        <v>8</v>
      </c>
      <c r="E1065" s="117">
        <f t="shared" si="98"/>
        <v>12</v>
      </c>
      <c r="G1065" s="122">
        <v>4</v>
      </c>
      <c r="H1065" s="117">
        <f t="shared" si="97"/>
        <v>10.158730158730158</v>
      </c>
    </row>
    <row r="1066" spans="4:16">
      <c r="D1066" s="119">
        <v>9</v>
      </c>
      <c r="E1066" s="117">
        <f t="shared" si="98"/>
        <v>13.5</v>
      </c>
      <c r="G1066" s="122">
        <v>110</v>
      </c>
      <c r="H1066" s="117">
        <f t="shared" ref="H1066:H1071" si="99">G1066*185/110</f>
        <v>185</v>
      </c>
    </row>
    <row r="1067" spans="4:16">
      <c r="D1067" s="119">
        <v>2</v>
      </c>
      <c r="E1067" s="117">
        <f t="shared" si="98"/>
        <v>3</v>
      </c>
      <c r="G1067" s="122">
        <v>8</v>
      </c>
      <c r="H1067" s="117">
        <f t="shared" si="99"/>
        <v>13.454545454545455</v>
      </c>
    </row>
    <row r="1068" spans="4:16">
      <c r="D1068" s="119">
        <v>1</v>
      </c>
      <c r="E1068" s="117">
        <f t="shared" si="98"/>
        <v>1.5</v>
      </c>
      <c r="G1068" s="122">
        <v>2</v>
      </c>
      <c r="H1068" s="117">
        <f t="shared" si="99"/>
        <v>3.3636363636363638</v>
      </c>
    </row>
    <row r="1069" spans="4:16">
      <c r="D1069" s="119">
        <v>0.6</v>
      </c>
      <c r="E1069" s="117">
        <f>D1069*210/200</f>
        <v>0.63</v>
      </c>
      <c r="G1069" s="122">
        <v>23</v>
      </c>
      <c r="H1069" s="117">
        <f t="shared" si="99"/>
        <v>38.68181818181818</v>
      </c>
    </row>
    <row r="1070" spans="4:16">
      <c r="D1070" s="119">
        <v>160</v>
      </c>
      <c r="E1070" s="117">
        <f>D1070*210/200</f>
        <v>168</v>
      </c>
      <c r="G1070" s="122">
        <v>23</v>
      </c>
      <c r="H1070" s="117">
        <f t="shared" si="99"/>
        <v>38.68181818181818</v>
      </c>
    </row>
    <row r="1071" spans="4:16">
      <c r="D1071" s="119">
        <v>200</v>
      </c>
      <c r="E1071" s="117">
        <f t="shared" ref="E1071:E1084" si="100">D1071*220/150</f>
        <v>293.33333333333331</v>
      </c>
      <c r="G1071" s="122">
        <v>60</v>
      </c>
      <c r="H1071" s="117">
        <f t="shared" si="99"/>
        <v>100.90909090909091</v>
      </c>
    </row>
    <row r="1072" spans="4:16">
      <c r="D1072" s="119">
        <v>6</v>
      </c>
      <c r="E1072" s="117">
        <f t="shared" si="100"/>
        <v>8.8000000000000007</v>
      </c>
    </row>
    <row r="1073" spans="4:5">
      <c r="D1073" s="119">
        <v>206</v>
      </c>
      <c r="E1073" s="117">
        <f t="shared" si="100"/>
        <v>302.13333333333333</v>
      </c>
    </row>
    <row r="1074" spans="4:5">
      <c r="D1074" s="119">
        <v>8</v>
      </c>
      <c r="E1074" s="117">
        <f t="shared" si="100"/>
        <v>11.733333333333333</v>
      </c>
    </row>
    <row r="1075" spans="4:5">
      <c r="D1075" s="122">
        <v>5</v>
      </c>
      <c r="E1075" s="117">
        <f t="shared" si="100"/>
        <v>7.333333333333333</v>
      </c>
    </row>
    <row r="1076" spans="4:5">
      <c r="D1076" s="122">
        <v>60</v>
      </c>
      <c r="E1076" s="117">
        <f t="shared" si="100"/>
        <v>88</v>
      </c>
    </row>
    <row r="1077" spans="4:5">
      <c r="D1077" s="122">
        <v>60</v>
      </c>
      <c r="E1077" s="117">
        <f t="shared" si="100"/>
        <v>88</v>
      </c>
    </row>
    <row r="1078" spans="4:5">
      <c r="D1078" s="119">
        <v>1</v>
      </c>
      <c r="E1078" s="117">
        <f t="shared" si="100"/>
        <v>1.4666666666666666</v>
      </c>
    </row>
    <row r="1079" spans="4:5">
      <c r="D1079" s="119">
        <v>0.6</v>
      </c>
      <c r="E1079" s="117">
        <f t="shared" si="100"/>
        <v>0.88</v>
      </c>
    </row>
    <row r="1080" spans="4:5">
      <c r="D1080" s="119">
        <v>160</v>
      </c>
      <c r="E1080" s="117">
        <f t="shared" si="100"/>
        <v>234.66666666666666</v>
      </c>
    </row>
    <row r="1081" spans="4:5">
      <c r="D1081" s="119">
        <v>200</v>
      </c>
      <c r="E1081" s="117">
        <f t="shared" si="100"/>
        <v>293.33333333333331</v>
      </c>
    </row>
    <row r="1082" spans="4:5">
      <c r="D1082" s="119">
        <v>6</v>
      </c>
      <c r="E1082" s="117">
        <f t="shared" si="100"/>
        <v>8.8000000000000007</v>
      </c>
    </row>
    <row r="1083" spans="4:5">
      <c r="D1083" s="119">
        <v>206</v>
      </c>
      <c r="E1083" s="117">
        <f t="shared" si="100"/>
        <v>302.13333333333333</v>
      </c>
    </row>
    <row r="1084" spans="4:5">
      <c r="D1084" s="119">
        <v>10</v>
      </c>
      <c r="E1084" s="117">
        <f t="shared" si="100"/>
        <v>14.666666666666666</v>
      </c>
    </row>
    <row r="1085" spans="4:5">
      <c r="E1085" s="117">
        <f>D1085*70/60</f>
        <v>0</v>
      </c>
    </row>
  </sheetData>
  <phoneticPr fontId="0" type="noConversion"/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MyOffice-CoreFramework-Windows/22-903.417.5503.534.8@RELEASE-DESKTOP-SORREL_HOME-RC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1-3 лет</vt:lpstr>
      <vt:lpstr>Дети 3-7 лет</vt:lpstr>
      <vt:lpstr>Лист1</vt:lpstr>
      <vt:lpstr>'1-3 лет'!Область_печати</vt:lpstr>
      <vt:lpstr>'Дети 3-7 лет'!Область_печати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Брусничка</cp:lastModifiedBy>
  <dcterms:created xsi:type="dcterms:W3CDTF">2024-11-15T06:37:44Z</dcterms:created>
  <dcterms:modified xsi:type="dcterms:W3CDTF">2024-11-15T06:38:33Z</dcterms:modified>
</cp:coreProperties>
</file>